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480" yWindow="300" windowWidth="15195" windowHeight="12345" firstSheet="1" activeTab="2"/>
  </bookViews>
  <sheets>
    <sheet name="T" sheetId="10" state="hidden" r:id="rId1"/>
    <sheet name="Settings" sheetId="9" r:id="rId2"/>
    <sheet name="2018 African Nations" sheetId="8" r:id="rId3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'2018 African Nations'!$AL$43</definedName>
    <definedName name="_xlnm.Print_Area" localSheetId="2">'2018 African Nations'!$A$1:$DS$57</definedName>
    <definedName name="T">T!$1:$1048576</definedName>
    <definedName name="tbl_lookup_3rd">'2018 African Nations'!#REF!</definedName>
  </definedNames>
  <calcPr calcId="125725"/>
</workbook>
</file>

<file path=xl/calcChain.xml><?xml version="1.0" encoding="utf-8"?>
<calcChain xmlns="http://schemas.openxmlformats.org/spreadsheetml/2006/main">
  <c r="AI30" i="8"/>
  <c r="AI22"/>
  <c r="AI20"/>
  <c r="AI18"/>
  <c r="AI15"/>
  <c r="AI14"/>
  <c r="W52"/>
  <c r="V40"/>
  <c r="V42"/>
  <c r="AI13"/>
  <c r="AI16"/>
  <c r="AI17"/>
  <c r="AI19"/>
  <c r="AI21"/>
  <c r="AI23"/>
  <c r="AI24"/>
  <c r="AI25"/>
  <c r="AI26"/>
  <c r="AI27"/>
  <c r="AI28"/>
  <c r="AI29"/>
  <c r="AI31"/>
  <c r="AI32"/>
  <c r="AI33"/>
  <c r="AI34"/>
  <c r="AI35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F26"/>
  <c r="AG13"/>
  <c r="AF27"/>
  <c r="AJ13"/>
  <c r="AK25"/>
  <c r="AK13"/>
  <c r="AF13"/>
  <c r="AG24"/>
  <c r="AG27"/>
  <c r="AG19"/>
  <c r="AK27"/>
  <c r="AJ27"/>
  <c r="AK24"/>
  <c r="AG26"/>
  <c r="AJ26"/>
  <c r="AG25"/>
  <c r="AK26"/>
  <c r="AF25"/>
  <c r="AF24"/>
  <c r="AJ25"/>
  <c r="AJ24"/>
  <c r="AF15"/>
  <c r="AJ35"/>
  <c r="AK14"/>
  <c r="AG15"/>
  <c r="AJ22"/>
  <c r="AF30"/>
  <c r="AK19"/>
  <c r="AF14"/>
  <c r="AG14"/>
  <c r="AJ14"/>
  <c r="AF35"/>
  <c r="AK15"/>
  <c r="AF23"/>
  <c r="AJ15"/>
  <c r="AJ17"/>
  <c r="AF29"/>
  <c r="AF33"/>
  <c r="AK35"/>
  <c r="AG35"/>
  <c r="AF19"/>
  <c r="AJ23"/>
  <c r="AJ19"/>
  <c r="AG23"/>
  <c r="AJ31"/>
  <c r="AG31"/>
  <c r="AK23"/>
  <c r="AK34"/>
  <c r="AK18"/>
  <c r="AF31"/>
  <c r="AK31"/>
  <c r="AK29"/>
  <c r="AJ34"/>
  <c r="AG30"/>
  <c r="AK30"/>
  <c r="AF34"/>
  <c r="AG29"/>
  <c r="AG17"/>
  <c r="AG18"/>
  <c r="AJ30"/>
  <c r="AG16"/>
  <c r="AF20"/>
  <c r="AK28"/>
  <c r="AG32"/>
  <c r="AJ21"/>
  <c r="AK33"/>
  <c r="AF22"/>
  <c r="AJ29"/>
  <c r="AK32"/>
  <c r="AF28"/>
  <c r="AF18"/>
  <c r="AG34"/>
  <c r="AF17"/>
  <c r="AG22"/>
  <c r="AK21"/>
  <c r="AF32"/>
  <c r="AJ33"/>
  <c r="AG33"/>
  <c r="AJ28"/>
  <c r="AG28"/>
  <c r="AJ20"/>
  <c r="AJ32"/>
  <c r="AK20"/>
  <c r="AJ18"/>
  <c r="AG21"/>
  <c r="AF21"/>
  <c r="AK22"/>
  <c r="AK17"/>
  <c r="AG20"/>
  <c r="AJ16"/>
  <c r="AK16"/>
  <c r="AF16"/>
  <c r="AJ12" l="1"/>
  <c r="AF12"/>
  <c r="AI12"/>
  <c r="AG12"/>
  <c r="AE12"/>
  <c r="AK12"/>
  <c r="G14" i="9"/>
  <c r="U52" i="8" l="1"/>
  <c r="U34"/>
  <c r="U26"/>
  <c r="U18"/>
  <c r="U21"/>
  <c r="U40"/>
  <c r="U14"/>
  <c r="U42"/>
  <c r="U15"/>
  <c r="U32"/>
  <c r="U46"/>
  <c r="U17"/>
  <c r="U55"/>
  <c r="U35"/>
  <c r="U27"/>
  <c r="U19"/>
  <c r="U12"/>
  <c r="U25"/>
  <c r="U39"/>
  <c r="U28"/>
  <c r="U20"/>
  <c r="U30"/>
  <c r="U31"/>
  <c r="U24"/>
  <c r="U41"/>
  <c r="U29"/>
  <c r="U13"/>
  <c r="U22"/>
  <c r="U23"/>
  <c r="U47"/>
  <c r="U16"/>
  <c r="U33"/>
  <c r="G13" i="9"/>
  <c r="G46"/>
  <c r="DD20" i="8" l="1"/>
  <c r="DD28"/>
  <c r="DP29"/>
  <c r="B17" i="9"/>
  <c r="B22"/>
  <c r="I27" i="8"/>
  <c r="I19"/>
  <c r="I11"/>
  <c r="B32" i="9"/>
  <c r="AN31" i="8"/>
  <c r="BI25" s="1"/>
  <c r="AN19"/>
  <c r="B30" i="9"/>
  <c r="I29" i="8"/>
  <c r="I13"/>
  <c r="AN33"/>
  <c r="B29" i="9"/>
  <c r="I22" i="8"/>
  <c r="B35" i="9"/>
  <c r="AN34" i="8"/>
  <c r="B26" i="9"/>
  <c r="I23" i="8"/>
  <c r="B36" i="9"/>
  <c r="B20"/>
  <c r="AN13" i="8"/>
  <c r="B25" i="9"/>
  <c r="I24" i="8"/>
  <c r="I16"/>
  <c r="AN26"/>
  <c r="B24" i="9"/>
  <c r="I25" i="8"/>
  <c r="B38" i="9"/>
  <c r="B28"/>
  <c r="AN15" i="8"/>
  <c r="B21" i="9"/>
  <c r="I28" i="8"/>
  <c r="I20"/>
  <c r="I12"/>
  <c r="B33" i="9"/>
  <c r="AN32" i="8"/>
  <c r="AN20"/>
  <c r="B19" i="9"/>
  <c r="I21" i="8"/>
  <c r="B34" i="9"/>
  <c r="AN21" i="8"/>
  <c r="B18" i="9"/>
  <c r="I30" i="8"/>
  <c r="I14"/>
  <c r="AN22"/>
  <c r="B15" i="9"/>
  <c r="I31" i="8"/>
  <c r="I15"/>
  <c r="AN25"/>
  <c r="B16" i="9"/>
  <c r="I32" i="8"/>
  <c r="B37" i="9"/>
  <c r="B27"/>
  <c r="AN14" i="8"/>
  <c r="I33"/>
  <c r="I17"/>
  <c r="AN27"/>
  <c r="B23" i="9"/>
  <c r="I26" i="8"/>
  <c r="I18"/>
  <c r="I10"/>
  <c r="B31" i="9"/>
  <c r="AN28" i="8"/>
  <c r="AN16"/>
  <c r="W40"/>
  <c r="DK28" s="1"/>
  <c r="W42"/>
  <c r="DK20" s="1"/>
  <c r="DP22"/>
  <c r="DJ26"/>
  <c r="DJ18"/>
  <c r="DD24"/>
  <c r="DD16"/>
  <c r="DD11"/>
  <c r="A1"/>
  <c r="DI34"/>
  <c r="DP11"/>
  <c r="DJ11"/>
  <c r="M23"/>
  <c r="B26"/>
  <c r="D29"/>
  <c r="C17"/>
  <c r="C11"/>
  <c r="D10"/>
  <c r="Q29"/>
  <c r="P11"/>
  <c r="B28"/>
  <c r="M29"/>
  <c r="R29"/>
  <c r="BI26"/>
  <c r="BI21"/>
  <c r="N23"/>
  <c r="R11"/>
  <c r="M17"/>
  <c r="BI27"/>
  <c r="BI24"/>
  <c r="BI22"/>
  <c r="BI19"/>
  <c r="BI23"/>
  <c r="BI18"/>
  <c r="P17"/>
  <c r="O11"/>
  <c r="M11"/>
  <c r="N29"/>
  <c r="Q17"/>
  <c r="S17"/>
  <c r="R17"/>
  <c r="Q11"/>
  <c r="O29"/>
  <c r="Q23"/>
  <c r="P23"/>
  <c r="S11"/>
  <c r="S29"/>
  <c r="P29"/>
  <c r="N17"/>
  <c r="N11"/>
  <c r="R23"/>
  <c r="A8"/>
  <c r="S23"/>
  <c r="O23"/>
  <c r="O17"/>
  <c r="BI13"/>
  <c r="H16" l="1"/>
  <c r="H25"/>
  <c r="E33"/>
  <c r="E27"/>
  <c r="H10"/>
  <c r="H19"/>
  <c r="E20"/>
  <c r="E12"/>
  <c r="H28"/>
  <c r="E23"/>
  <c r="E30"/>
  <c r="H15"/>
  <c r="E22"/>
  <c r="E14"/>
  <c r="H30"/>
  <c r="E28"/>
  <c r="E21"/>
  <c r="E15"/>
  <c r="H22"/>
  <c r="H31"/>
  <c r="BI17"/>
  <c r="BI28"/>
  <c r="H24"/>
  <c r="E17"/>
  <c r="H33"/>
  <c r="E32"/>
  <c r="H17"/>
  <c r="E25"/>
  <c r="E29"/>
  <c r="H21"/>
  <c r="H20"/>
  <c r="H29"/>
  <c r="E13"/>
  <c r="E18"/>
  <c r="H26"/>
  <c r="H18"/>
  <c r="H27"/>
  <c r="E26"/>
  <c r="H11"/>
  <c r="E19"/>
  <c r="E31"/>
  <c r="H23"/>
  <c r="H14"/>
  <c r="E24"/>
  <c r="E16"/>
  <c r="H32"/>
  <c r="BI20"/>
  <c r="BI14"/>
  <c r="BI15"/>
  <c r="BI16"/>
  <c r="V14"/>
  <c r="V17"/>
  <c r="V19"/>
  <c r="V32"/>
  <c r="V21"/>
  <c r="V33"/>
  <c r="V30"/>
  <c r="V28"/>
  <c r="E11"/>
  <c r="V35"/>
  <c r="V22"/>
  <c r="V34"/>
  <c r="V18"/>
  <c r="V29"/>
  <c r="V27"/>
  <c r="H12"/>
  <c r="V20"/>
  <c r="W20" s="1"/>
  <c r="H13"/>
  <c r="BA25"/>
  <c r="BA28"/>
  <c r="BA26"/>
  <c r="BA33"/>
  <c r="BA20"/>
  <c r="BA15"/>
  <c r="BA34"/>
  <c r="BA13"/>
  <c r="V31"/>
  <c r="V24"/>
  <c r="C29"/>
  <c r="B29"/>
  <c r="C26"/>
  <c r="D26"/>
  <c r="D33"/>
  <c r="B33"/>
  <c r="C33"/>
  <c r="D24"/>
  <c r="C24"/>
  <c r="B24"/>
  <c r="D22"/>
  <c r="B22"/>
  <c r="C22"/>
  <c r="B13"/>
  <c r="C13"/>
  <c r="D13"/>
  <c r="B10"/>
  <c r="C10"/>
  <c r="B25"/>
  <c r="D25"/>
  <c r="C25"/>
  <c r="C20"/>
  <c r="D20"/>
  <c r="B20"/>
  <c r="B15"/>
  <c r="C15"/>
  <c r="D15"/>
  <c r="B27"/>
  <c r="C27"/>
  <c r="D27"/>
  <c r="B14"/>
  <c r="D14"/>
  <c r="C14"/>
  <c r="B21"/>
  <c r="C21"/>
  <c r="D21"/>
  <c r="C30"/>
  <c r="D30"/>
  <c r="B30"/>
  <c r="D18"/>
  <c r="B18"/>
  <c r="C18"/>
  <c r="C23"/>
  <c r="D23"/>
  <c r="B23"/>
  <c r="B19"/>
  <c r="D19"/>
  <c r="C19"/>
  <c r="D11"/>
  <c r="B11"/>
  <c r="B32"/>
  <c r="C32"/>
  <c r="D32"/>
  <c r="D31"/>
  <c r="B31"/>
  <c r="C31"/>
  <c r="B16"/>
  <c r="C16"/>
  <c r="D16"/>
  <c r="D12"/>
  <c r="B12"/>
  <c r="C12"/>
  <c r="B17"/>
  <c r="D17"/>
  <c r="C28"/>
  <c r="D28"/>
  <c r="E10"/>
  <c r="BA14"/>
  <c r="BA27"/>
  <c r="BA22"/>
  <c r="BA19"/>
  <c r="BA31"/>
  <c r="BA16"/>
  <c r="BA21"/>
  <c r="BA32"/>
  <c r="W14" l="1"/>
  <c r="AC25"/>
  <c r="AC28"/>
  <c r="AC26"/>
  <c r="AC20"/>
  <c r="AC27"/>
  <c r="AC13"/>
  <c r="AC22"/>
  <c r="AC18"/>
  <c r="AA28"/>
  <c r="AB28"/>
  <c r="AA19"/>
  <c r="AB19"/>
  <c r="AC21"/>
  <c r="V16"/>
  <c r="W16" s="1"/>
  <c r="AA16"/>
  <c r="AB16"/>
  <c r="AC35"/>
  <c r="AC32"/>
  <c r="AC17"/>
  <c r="AA14"/>
  <c r="AB14"/>
  <c r="AC16"/>
  <c r="AC31"/>
  <c r="AC33"/>
  <c r="AA33"/>
  <c r="AB33"/>
  <c r="V15"/>
  <c r="W15" s="1"/>
  <c r="AB15"/>
  <c r="AA15"/>
  <c r="V23"/>
  <c r="W23" s="1"/>
  <c r="AB23"/>
  <c r="AA23"/>
  <c r="AA30"/>
  <c r="AB30"/>
  <c r="AC23"/>
  <c r="AA24"/>
  <c r="AB24"/>
  <c r="AA35"/>
  <c r="AB35"/>
  <c r="AC19"/>
  <c r="AA27"/>
  <c r="AB27"/>
  <c r="AC29"/>
  <c r="V12"/>
  <c r="W12" s="1"/>
  <c r="AB12"/>
  <c r="AA12"/>
  <c r="AC24"/>
  <c r="AC12"/>
  <c r="AC34"/>
  <c r="AC30"/>
  <c r="AB17"/>
  <c r="AA17"/>
  <c r="AA18"/>
  <c r="AB18"/>
  <c r="AB31"/>
  <c r="AA31"/>
  <c r="AA20"/>
  <c r="AB20"/>
  <c r="V25"/>
  <c r="W25" s="1"/>
  <c r="AB25"/>
  <c r="AA25"/>
  <c r="AA22"/>
  <c r="AB22"/>
  <c r="AA21"/>
  <c r="AB21"/>
  <c r="V26"/>
  <c r="W26" s="1"/>
  <c r="AA26"/>
  <c r="AB26"/>
  <c r="AC15"/>
  <c r="AC14"/>
  <c r="AA29"/>
  <c r="AB29"/>
  <c r="AA34"/>
  <c r="AB34"/>
  <c r="V13"/>
  <c r="W13" s="1"/>
  <c r="AB13"/>
  <c r="AA13"/>
  <c r="AA32"/>
  <c r="AB32"/>
  <c r="W19"/>
  <c r="W21"/>
  <c r="W22"/>
  <c r="W34"/>
  <c r="W18"/>
  <c r="W28"/>
  <c r="W29"/>
  <c r="W17"/>
  <c r="W35"/>
  <c r="W32"/>
  <c r="W33"/>
  <c r="W30"/>
  <c r="AS13"/>
  <c r="AS20"/>
  <c r="W31"/>
  <c r="W24"/>
  <c r="W27"/>
  <c r="AR20"/>
  <c r="AR26"/>
  <c r="AR13"/>
  <c r="AR19"/>
  <c r="AS25"/>
  <c r="AS32"/>
  <c r="AS21"/>
  <c r="AS15"/>
  <c r="AS33"/>
  <c r="AR33"/>
  <c r="AR16"/>
  <c r="AR14"/>
  <c r="AS28"/>
  <c r="AR15"/>
  <c r="AS34"/>
  <c r="AS16"/>
  <c r="AS26"/>
  <c r="AR32"/>
  <c r="AR22"/>
  <c r="AS19"/>
  <c r="AR21"/>
  <c r="AR25"/>
  <c r="AS14"/>
  <c r="AS22"/>
  <c r="AR28"/>
  <c r="AS31"/>
  <c r="AR34"/>
  <c r="AR31"/>
  <c r="AS27"/>
  <c r="AR27"/>
  <c r="AH15" l="1"/>
  <c r="AH24"/>
  <c r="AH18"/>
  <c r="AH17"/>
  <c r="AH33"/>
  <c r="AH26"/>
  <c r="AH16"/>
  <c r="AH19"/>
  <c r="AH13"/>
  <c r="AH29"/>
  <c r="AH21"/>
  <c r="AH20"/>
  <c r="AH12"/>
  <c r="AH28"/>
  <c r="AD25"/>
  <c r="AH25"/>
  <c r="AH34"/>
  <c r="AH30"/>
  <c r="AH31"/>
  <c r="AH23"/>
  <c r="AH32"/>
  <c r="AH27"/>
  <c r="AH35"/>
  <c r="AH14"/>
  <c r="AH22"/>
  <c r="AD31"/>
  <c r="AD22"/>
  <c r="AD33"/>
  <c r="AD15"/>
  <c r="AD23"/>
  <c r="AD35"/>
  <c r="AD14"/>
  <c r="AD18"/>
  <c r="AD32"/>
  <c r="AD26"/>
  <c r="AD27"/>
  <c r="AD34"/>
  <c r="AD19"/>
  <c r="AD17"/>
  <c r="AD30"/>
  <c r="AD24"/>
  <c r="AD16"/>
  <c r="AD13"/>
  <c r="AD29"/>
  <c r="AD21"/>
  <c r="AD20"/>
  <c r="AD12"/>
  <c r="AD28"/>
  <c r="AU28"/>
  <c r="AU32"/>
  <c r="AS17"/>
  <c r="AU26"/>
  <c r="AS35"/>
  <c r="AU31"/>
  <c r="AU20"/>
  <c r="AP34"/>
  <c r="AU27"/>
  <c r="AO25"/>
  <c r="AQ19"/>
  <c r="AP32"/>
  <c r="AO28"/>
  <c r="AO27"/>
  <c r="AO20"/>
  <c r="AP25"/>
  <c r="AP20"/>
  <c r="AP31"/>
  <c r="AO22"/>
  <c r="AU15"/>
  <c r="AU25"/>
  <c r="AQ16"/>
  <c r="AQ34"/>
  <c r="AO33"/>
  <c r="AO34"/>
  <c r="AP14"/>
  <c r="AO13"/>
  <c r="AO14"/>
  <c r="AQ20"/>
  <c r="AP16"/>
  <c r="AP26"/>
  <c r="AU19"/>
  <c r="AU13"/>
  <c r="AS23"/>
  <c r="AU33"/>
  <c r="AU16"/>
  <c r="AR17"/>
  <c r="AQ32"/>
  <c r="AS29"/>
  <c r="AU22"/>
  <c r="AR23"/>
  <c r="AU21"/>
  <c r="AR29"/>
  <c r="AR35"/>
  <c r="AP22"/>
  <c r="AU14"/>
  <c r="AU34"/>
  <c r="AQ13"/>
  <c r="AO16"/>
  <c r="AO32"/>
  <c r="AO21"/>
  <c r="AQ25"/>
  <c r="AO15"/>
  <c r="AP33"/>
  <c r="AO31"/>
  <c r="AQ14"/>
  <c r="AQ33"/>
  <c r="AO19"/>
  <c r="AQ26"/>
  <c r="AP27"/>
  <c r="AQ22"/>
  <c r="AQ28"/>
  <c r="AP15"/>
  <c r="AQ21"/>
  <c r="AP21"/>
  <c r="AP13"/>
  <c r="AQ27"/>
  <c r="AP28"/>
  <c r="AP19"/>
  <c r="AQ15"/>
  <c r="AO26"/>
  <c r="AQ31"/>
  <c r="BY13" l="1"/>
  <c r="BO13"/>
  <c r="BT22"/>
  <c r="BN16"/>
  <c r="BS21"/>
  <c r="BR15"/>
  <c r="BP15"/>
  <c r="BX14"/>
  <c r="BZ14"/>
  <c r="BZ13"/>
  <c r="CA21"/>
  <c r="BU14"/>
  <c r="BM14"/>
  <c r="BU21"/>
  <c r="BS15"/>
  <c r="BR16"/>
  <c r="BY16"/>
  <c r="BO14"/>
  <c r="BM22"/>
  <c r="BT16"/>
  <c r="BN21"/>
  <c r="BR14"/>
  <c r="BX22"/>
  <c r="BR22"/>
  <c r="BT14"/>
  <c r="BR20"/>
  <c r="BN19"/>
  <c r="BX16"/>
  <c r="BO20"/>
  <c r="BT20"/>
  <c r="BP14"/>
  <c r="BP21"/>
  <c r="BU13"/>
  <c r="BY15"/>
  <c r="BM15"/>
  <c r="BY19"/>
  <c r="BU19"/>
  <c r="CA31"/>
  <c r="BN15"/>
  <c r="BU15"/>
  <c r="CA14"/>
  <c r="BM20"/>
  <c r="BM16"/>
  <c r="BZ20"/>
  <c r="BS13"/>
  <c r="CA13"/>
  <c r="BO22"/>
  <c r="BS19"/>
  <c r="BS16"/>
  <c r="BZ16"/>
  <c r="CA15"/>
  <c r="BY21"/>
  <c r="BX20"/>
  <c r="BN13"/>
  <c r="BO19"/>
  <c r="BT13"/>
  <c r="BO16"/>
  <c r="BP13"/>
  <c r="BZ22"/>
  <c r="BX15"/>
  <c r="BP19"/>
  <c r="CA19"/>
  <c r="BX27"/>
  <c r="BT34"/>
  <c r="BZ32"/>
  <c r="BR27"/>
  <c r="BP32"/>
  <c r="BM21"/>
  <c r="BN28"/>
  <c r="BR33"/>
  <c r="BP27"/>
  <c r="BP20"/>
  <c r="BS25"/>
  <c r="BU27"/>
  <c r="BS22"/>
  <c r="BU26"/>
  <c r="BZ34"/>
  <c r="BU25"/>
  <c r="BT28"/>
  <c r="BO25"/>
  <c r="BZ19"/>
  <c r="BX32"/>
  <c r="CA26"/>
  <c r="BN31"/>
  <c r="BO26"/>
  <c r="BM34"/>
  <c r="CA27"/>
  <c r="CA20"/>
  <c r="BO32"/>
  <c r="BY22"/>
  <c r="BS33"/>
  <c r="BT26"/>
  <c r="BU33"/>
  <c r="BY28"/>
  <c r="BR32"/>
  <c r="BZ26"/>
  <c r="BR21"/>
  <c r="BT32"/>
  <c r="BM32"/>
  <c r="BO34"/>
  <c r="BR34"/>
  <c r="BM33"/>
  <c r="BS31"/>
  <c r="BU20"/>
  <c r="BX26"/>
  <c r="BO28"/>
  <c r="BN33"/>
  <c r="BY34"/>
  <c r="BM28"/>
  <c r="BX28"/>
  <c r="BM26"/>
  <c r="BO31"/>
  <c r="BP25"/>
  <c r="BP26"/>
  <c r="BP31"/>
  <c r="BU31"/>
  <c r="BS27"/>
  <c r="BT25"/>
  <c r="BR28"/>
  <c r="BZ28"/>
  <c r="CA33"/>
  <c r="BY31"/>
  <c r="BT31"/>
  <c r="BS34"/>
  <c r="BS28"/>
  <c r="BM27"/>
  <c r="BN34"/>
  <c r="BP33"/>
  <c r="BN25"/>
  <c r="BT19"/>
  <c r="BY25"/>
  <c r="BN22"/>
  <c r="BU32"/>
  <c r="BX21"/>
  <c r="CA32"/>
  <c r="CA25"/>
  <c r="BN27"/>
  <c r="BX33"/>
  <c r="BZ25"/>
  <c r="BY27"/>
  <c r="BR26"/>
  <c r="BZ31"/>
  <c r="BX34"/>
  <c r="BY33"/>
  <c r="AW20"/>
  <c r="AU30"/>
  <c r="AU29" s="1"/>
  <c r="AV27" s="1"/>
  <c r="AW31"/>
  <c r="AT31" s="1"/>
  <c r="AW27"/>
  <c r="AP35"/>
  <c r="AW32"/>
  <c r="AT32" s="1"/>
  <c r="AW34"/>
  <c r="AT34" s="1"/>
  <c r="AW25"/>
  <c r="AW28"/>
  <c r="AW13"/>
  <c r="AO23"/>
  <c r="AW22"/>
  <c r="AW16"/>
  <c r="AU18"/>
  <c r="AU17" s="1"/>
  <c r="AW26"/>
  <c r="AW14"/>
  <c r="AU36"/>
  <c r="AU35" s="1"/>
  <c r="AV34" s="1"/>
  <c r="AQ23"/>
  <c r="AP23"/>
  <c r="AU24"/>
  <c r="AU23" s="1"/>
  <c r="AV20" s="1"/>
  <c r="AQ17"/>
  <c r="AW33"/>
  <c r="AT33" s="1"/>
  <c r="AO29"/>
  <c r="AQ35"/>
  <c r="AW21"/>
  <c r="AQ29"/>
  <c r="AP29"/>
  <c r="AP17"/>
  <c r="AW15"/>
  <c r="AO35"/>
  <c r="AO17"/>
  <c r="AW19"/>
  <c r="BQ32" l="1"/>
  <c r="BV34"/>
  <c r="BQ31"/>
  <c r="BM35" s="1"/>
  <c r="BQ25"/>
  <c r="BV19"/>
  <c r="BV22"/>
  <c r="BV21"/>
  <c r="BQ21"/>
  <c r="BO23" s="1"/>
  <c r="BV20"/>
  <c r="BV27"/>
  <c r="BV26"/>
  <c r="BQ28"/>
  <c r="BP29" s="1"/>
  <c r="BV31"/>
  <c r="BV33"/>
  <c r="BQ22"/>
  <c r="BQ27"/>
  <c r="BQ33"/>
  <c r="BO35" s="1"/>
  <c r="BV25"/>
  <c r="BQ19"/>
  <c r="BQ20"/>
  <c r="BV28"/>
  <c r="BQ26"/>
  <c r="BV32"/>
  <c r="BQ34"/>
  <c r="CB26"/>
  <c r="CB34"/>
  <c r="CB32"/>
  <c r="CB21"/>
  <c r="CB20"/>
  <c r="CB16"/>
  <c r="CB25"/>
  <c r="CB19"/>
  <c r="CB27"/>
  <c r="CB22"/>
  <c r="CB33"/>
  <c r="CB28"/>
  <c r="CB31"/>
  <c r="CB13"/>
  <c r="BV16"/>
  <c r="BV15"/>
  <c r="BV14"/>
  <c r="BV13"/>
  <c r="CB14"/>
  <c r="CB15"/>
  <c r="BQ16"/>
  <c r="BQ15"/>
  <c r="BQ13"/>
  <c r="BQ14"/>
  <c r="AT27"/>
  <c r="AT22"/>
  <c r="AT14"/>
  <c r="AT20"/>
  <c r="AT28"/>
  <c r="AT19"/>
  <c r="AT13"/>
  <c r="AT16"/>
  <c r="AT15"/>
  <c r="AT25"/>
  <c r="X16" s="1"/>
  <c r="AT21"/>
  <c r="AT26"/>
  <c r="AV25"/>
  <c r="AV28"/>
  <c r="AV26"/>
  <c r="AW29"/>
  <c r="AT36"/>
  <c r="AT35" s="1"/>
  <c r="AV16"/>
  <c r="AV15"/>
  <c r="AV14"/>
  <c r="AW17"/>
  <c r="AV13"/>
  <c r="AV32"/>
  <c r="AV33"/>
  <c r="AV31"/>
  <c r="AV22"/>
  <c r="AW35"/>
  <c r="AW23"/>
  <c r="AV19"/>
  <c r="AV21"/>
  <c r="X32" l="1"/>
  <c r="Z32" s="1"/>
  <c r="X29"/>
  <c r="Z29" s="1"/>
  <c r="X35"/>
  <c r="Z35" s="1"/>
  <c r="X19"/>
  <c r="Z19" s="1"/>
  <c r="BW32"/>
  <c r="CC32"/>
  <c r="BW13"/>
  <c r="BW20"/>
  <c r="BW28"/>
  <c r="BW14"/>
  <c r="BW15"/>
  <c r="BW21"/>
  <c r="BW16"/>
  <c r="BW33"/>
  <c r="BW22"/>
  <c r="BW25"/>
  <c r="BW31"/>
  <c r="BW34"/>
  <c r="BW26"/>
  <c r="BW19"/>
  <c r="BW27"/>
  <c r="BM23"/>
  <c r="CN20" s="1"/>
  <c r="BP35"/>
  <c r="CK31" s="1"/>
  <c r="BP23"/>
  <c r="CF19" s="1"/>
  <c r="BN23"/>
  <c r="CI21" s="1"/>
  <c r="CK25"/>
  <c r="CQ26"/>
  <c r="CC33"/>
  <c r="CK26"/>
  <c r="CK27"/>
  <c r="CF26"/>
  <c r="CH33"/>
  <c r="CN34"/>
  <c r="CF25"/>
  <c r="CQ25"/>
  <c r="CQ27"/>
  <c r="CC34"/>
  <c r="BO29"/>
  <c r="CH32"/>
  <c r="CJ32"/>
  <c r="CJ34"/>
  <c r="CP34"/>
  <c r="CE31"/>
  <c r="CE34"/>
  <c r="CJ31"/>
  <c r="CP32"/>
  <c r="CE32"/>
  <c r="CP31"/>
  <c r="CN33"/>
  <c r="CJ22"/>
  <c r="CJ19"/>
  <c r="CP20"/>
  <c r="CP19"/>
  <c r="CJ20"/>
  <c r="CE22"/>
  <c r="CP22"/>
  <c r="CE20"/>
  <c r="CE19"/>
  <c r="BN35"/>
  <c r="BM29"/>
  <c r="CH34"/>
  <c r="CF27"/>
  <c r="BN29"/>
  <c r="CN32"/>
  <c r="BM17"/>
  <c r="BO17"/>
  <c r="BP17"/>
  <c r="BN17"/>
  <c r="X30"/>
  <c r="Z30" s="1"/>
  <c r="X20"/>
  <c r="Y20" s="1"/>
  <c r="X17"/>
  <c r="Z17" s="1"/>
  <c r="X21"/>
  <c r="Y21" s="1"/>
  <c r="AT30"/>
  <c r="AT29" s="1"/>
  <c r="X24"/>
  <c r="Y24" s="1"/>
  <c r="X15"/>
  <c r="Z15" s="1"/>
  <c r="X28"/>
  <c r="Z28" s="1"/>
  <c r="X25"/>
  <c r="Z25" s="1"/>
  <c r="X18"/>
  <c r="Y18" s="1"/>
  <c r="X33"/>
  <c r="Z33" s="1"/>
  <c r="X12"/>
  <c r="AT18"/>
  <c r="AT17" s="1"/>
  <c r="X23"/>
  <c r="Z23" s="1"/>
  <c r="X26"/>
  <c r="Y26" s="1"/>
  <c r="X13"/>
  <c r="X34"/>
  <c r="Y34" s="1"/>
  <c r="X22"/>
  <c r="AT24"/>
  <c r="AT23" s="1"/>
  <c r="X31"/>
  <c r="X27"/>
  <c r="X14"/>
  <c r="Z16"/>
  <c r="Y16"/>
  <c r="Y32" l="1"/>
  <c r="Y19"/>
  <c r="BF13"/>
  <c r="Y29"/>
  <c r="Y35"/>
  <c r="CI22"/>
  <c r="CF21"/>
  <c r="CQ21"/>
  <c r="CK21"/>
  <c r="CF31"/>
  <c r="CK19"/>
  <c r="CQ19"/>
  <c r="CK20"/>
  <c r="CQ31"/>
  <c r="CK32"/>
  <c r="CL32" s="1"/>
  <c r="CQ32"/>
  <c r="CR32" s="1"/>
  <c r="CF32"/>
  <c r="CG32" s="1"/>
  <c r="CC21"/>
  <c r="CO22"/>
  <c r="CH22"/>
  <c r="CD22"/>
  <c r="CH20"/>
  <c r="CI19"/>
  <c r="CO21"/>
  <c r="CF33"/>
  <c r="CQ20"/>
  <c r="CR20" s="1"/>
  <c r="CN21"/>
  <c r="CC22"/>
  <c r="CN22"/>
  <c r="CD19"/>
  <c r="CG19" s="1"/>
  <c r="CH21"/>
  <c r="CO19"/>
  <c r="CQ33"/>
  <c r="CK33"/>
  <c r="CF20"/>
  <c r="CC20"/>
  <c r="CD21"/>
  <c r="CE28"/>
  <c r="CP25"/>
  <c r="CP26"/>
  <c r="CJ26"/>
  <c r="CJ25"/>
  <c r="CP28"/>
  <c r="CE26"/>
  <c r="CJ28"/>
  <c r="CE25"/>
  <c r="CH26"/>
  <c r="CC27"/>
  <c r="CN28"/>
  <c r="CH28"/>
  <c r="CC28"/>
  <c r="CC26"/>
  <c r="CN27"/>
  <c r="CN26"/>
  <c r="CH27"/>
  <c r="CI31"/>
  <c r="CL31" s="1"/>
  <c r="CI33"/>
  <c r="CD33"/>
  <c r="CO31"/>
  <c r="CO34"/>
  <c r="CR34" s="1"/>
  <c r="CO33"/>
  <c r="CD31"/>
  <c r="CD34"/>
  <c r="CG34" s="1"/>
  <c r="CI34"/>
  <c r="CL34" s="1"/>
  <c r="CD28"/>
  <c r="CI27"/>
  <c r="CO28"/>
  <c r="CO27"/>
  <c r="CD25"/>
  <c r="CD27"/>
  <c r="CI28"/>
  <c r="CI25"/>
  <c r="CO25"/>
  <c r="CO15"/>
  <c r="CO16"/>
  <c r="CO13"/>
  <c r="CQ15"/>
  <c r="CQ14"/>
  <c r="CQ13"/>
  <c r="CE14"/>
  <c r="CP14"/>
  <c r="CP13"/>
  <c r="CP16"/>
  <c r="CC15"/>
  <c r="CN16"/>
  <c r="CN15"/>
  <c r="CN14"/>
  <c r="CE13"/>
  <c r="CE16"/>
  <c r="CC14"/>
  <c r="CC16"/>
  <c r="CD13"/>
  <c r="CI13"/>
  <c r="CI15"/>
  <c r="CI16"/>
  <c r="CD15"/>
  <c r="CF15"/>
  <c r="CK15"/>
  <c r="CK14"/>
  <c r="CK13"/>
  <c r="CJ14"/>
  <c r="CJ13"/>
  <c r="CJ16"/>
  <c r="CH16"/>
  <c r="CH15"/>
  <c r="CH14"/>
  <c r="CF13"/>
  <c r="CF14"/>
  <c r="CD16"/>
  <c r="Y17"/>
  <c r="Y30"/>
  <c r="Z20"/>
  <c r="Z21"/>
  <c r="Y15"/>
  <c r="Y33"/>
  <c r="Z26"/>
  <c r="Y28"/>
  <c r="Z24"/>
  <c r="Y25"/>
  <c r="Y13"/>
  <c r="Z13"/>
  <c r="Z18"/>
  <c r="Z12"/>
  <c r="Y12"/>
  <c r="Y23"/>
  <c r="BD31"/>
  <c r="Z34"/>
  <c r="BF15"/>
  <c r="BE25"/>
  <c r="BG22"/>
  <c r="BD32"/>
  <c r="BG33"/>
  <c r="BD20"/>
  <c r="BG14"/>
  <c r="BG32"/>
  <c r="BE28"/>
  <c r="BF22"/>
  <c r="BF27"/>
  <c r="BD19"/>
  <c r="BD33"/>
  <c r="BD21"/>
  <c r="BF25"/>
  <c r="BG27"/>
  <c r="BE13"/>
  <c r="BF14"/>
  <c r="BG20"/>
  <c r="BE16"/>
  <c r="BE27"/>
  <c r="BE31"/>
  <c r="BE22"/>
  <c r="BD15"/>
  <c r="BE26"/>
  <c r="BF32"/>
  <c r="BE33"/>
  <c r="BD14"/>
  <c r="BF34"/>
  <c r="BE32"/>
  <c r="BF16"/>
  <c r="BD25"/>
  <c r="BE20"/>
  <c r="BG15"/>
  <c r="BG25"/>
  <c r="BG26"/>
  <c r="BF20"/>
  <c r="BF26"/>
  <c r="BD26"/>
  <c r="BD16"/>
  <c r="BG31"/>
  <c r="BD34"/>
  <c r="BF19"/>
  <c r="BE15"/>
  <c r="BD28"/>
  <c r="BF31"/>
  <c r="BE21"/>
  <c r="BE34"/>
  <c r="BD22"/>
  <c r="BG34"/>
  <c r="BE14"/>
  <c r="BF21"/>
  <c r="BD27"/>
  <c r="BD13"/>
  <c r="BG28"/>
  <c r="BF28"/>
  <c r="BG13"/>
  <c r="BG19"/>
  <c r="BE19"/>
  <c r="BF33"/>
  <c r="BG16"/>
  <c r="Z14"/>
  <c r="BG21"/>
  <c r="Y14"/>
  <c r="Y27"/>
  <c r="Z27"/>
  <c r="Y31"/>
  <c r="Z31"/>
  <c r="Y22"/>
  <c r="Z22"/>
  <c r="CL22" l="1"/>
  <c r="CR19"/>
  <c r="CG31"/>
  <c r="CL21"/>
  <c r="CR31"/>
  <c r="CL19"/>
  <c r="CG20"/>
  <c r="CL33"/>
  <c r="CM33" s="1"/>
  <c r="CL20"/>
  <c r="CG22"/>
  <c r="CR22"/>
  <c r="CG21"/>
  <c r="CR21"/>
  <c r="CR33"/>
  <c r="CG33"/>
  <c r="CL25"/>
  <c r="CG27"/>
  <c r="CR25"/>
  <c r="CL27"/>
  <c r="CR15"/>
  <c r="CG28"/>
  <c r="CL28"/>
  <c r="CR28"/>
  <c r="CL26"/>
  <c r="CR27"/>
  <c r="CR26"/>
  <c r="CG25"/>
  <c r="CG26"/>
  <c r="CR16"/>
  <c r="CR14"/>
  <c r="CG14"/>
  <c r="CG16"/>
  <c r="CR13"/>
  <c r="CG13"/>
  <c r="CL15"/>
  <c r="CL14"/>
  <c r="CL16"/>
  <c r="CG15"/>
  <c r="CL13"/>
  <c r="BH32"/>
  <c r="BH33"/>
  <c r="BF23"/>
  <c r="BD17"/>
  <c r="BH14"/>
  <c r="BH26"/>
  <c r="BH20"/>
  <c r="BH15"/>
  <c r="BE29"/>
  <c r="BH28"/>
  <c r="BD23"/>
  <c r="BH31"/>
  <c r="BH16"/>
  <c r="BE17"/>
  <c r="BG35"/>
  <c r="BF17"/>
  <c r="BD35"/>
  <c r="BH25"/>
  <c r="BG29"/>
  <c r="BE35"/>
  <c r="BH22"/>
  <c r="BE23"/>
  <c r="BG17"/>
  <c r="BH27"/>
  <c r="BH34"/>
  <c r="BG23"/>
  <c r="BH19"/>
  <c r="BD29"/>
  <c r="BF29"/>
  <c r="BH21"/>
  <c r="BF35"/>
  <c r="BH13"/>
  <c r="CM19" l="1"/>
  <c r="CS19" s="1"/>
  <c r="CM22"/>
  <c r="CS22" s="1"/>
  <c r="CM20"/>
  <c r="CS20" s="1"/>
  <c r="CM21"/>
  <c r="CS21" s="1"/>
  <c r="CM32"/>
  <c r="CS32" s="1"/>
  <c r="CM34"/>
  <c r="CS34" s="1"/>
  <c r="CM31"/>
  <c r="CS31" s="1"/>
  <c r="CM13"/>
  <c r="CS13" s="1"/>
  <c r="CM26"/>
  <c r="CS26" s="1"/>
  <c r="CS33"/>
  <c r="CM16"/>
  <c r="CS16" s="1"/>
  <c r="CM25"/>
  <c r="CS25" s="1"/>
  <c r="CM14"/>
  <c r="CS14" s="1"/>
  <c r="CM15"/>
  <c r="CS15" s="1"/>
  <c r="CM28"/>
  <c r="CS28" s="1"/>
  <c r="CM27"/>
  <c r="CS27" s="1"/>
  <c r="BH35"/>
  <c r="AX34" s="1"/>
  <c r="BH29"/>
  <c r="AX26" s="1"/>
  <c r="BH17"/>
  <c r="AX13" s="1"/>
  <c r="BH23"/>
  <c r="AX22" s="1"/>
  <c r="CT22" l="1"/>
  <c r="CT19"/>
  <c r="CT31"/>
  <c r="CT20"/>
  <c r="CT21"/>
  <c r="CT33"/>
  <c r="CT32"/>
  <c r="CT34"/>
  <c r="CT26"/>
  <c r="CT25"/>
  <c r="CT27"/>
  <c r="CT28"/>
  <c r="CT13"/>
  <c r="CT15"/>
  <c r="CT16"/>
  <c r="CT14"/>
  <c r="AX15"/>
  <c r="AX32"/>
  <c r="AX33"/>
  <c r="AX31"/>
  <c r="AX28"/>
  <c r="AX27"/>
  <c r="AX25"/>
  <c r="AX21"/>
  <c r="AX20"/>
  <c r="AX19"/>
  <c r="AX16"/>
  <c r="AX14"/>
  <c r="CU35" l="1"/>
  <c r="CU34" s="1"/>
  <c r="CU29"/>
  <c r="CU28" s="1"/>
  <c r="CW35"/>
  <c r="CW32" s="1"/>
  <c r="CV23"/>
  <c r="CV22" s="1"/>
  <c r="CV29"/>
  <c r="CV28" s="1"/>
  <c r="CW23"/>
  <c r="CW20" s="1"/>
  <c r="CW17"/>
  <c r="CW14" s="1"/>
  <c r="CX35"/>
  <c r="CX32" s="1"/>
  <c r="CU17"/>
  <c r="CU14" s="1"/>
  <c r="CX29"/>
  <c r="CX27" s="1"/>
  <c r="CU23"/>
  <c r="CU21" s="1"/>
  <c r="CW29"/>
  <c r="CW25" s="1"/>
  <c r="CV35"/>
  <c r="CV34" s="1"/>
  <c r="CX23"/>
  <c r="CX20" s="1"/>
  <c r="CV17"/>
  <c r="CV15" s="1"/>
  <c r="CX17"/>
  <c r="CX13" s="1"/>
  <c r="AY16"/>
  <c r="AY13"/>
  <c r="AY15"/>
  <c r="AY14"/>
  <c r="AX35"/>
  <c r="BB32" s="1"/>
  <c r="AX29"/>
  <c r="BB26" s="1"/>
  <c r="AX17"/>
  <c r="BB15" s="1"/>
  <c r="AX23"/>
  <c r="BB22" s="1"/>
  <c r="CV19" l="1"/>
  <c r="CU27"/>
  <c r="CU16"/>
  <c r="CV21"/>
  <c r="CX19"/>
  <c r="CX21"/>
  <c r="CU22"/>
  <c r="CU32"/>
  <c r="CY32" s="1"/>
  <c r="CZ32" s="1"/>
  <c r="CU20"/>
  <c r="CY20" s="1"/>
  <c r="CZ20" s="1"/>
  <c r="CU33"/>
  <c r="CU15"/>
  <c r="CV27"/>
  <c r="CV25"/>
  <c r="CX26"/>
  <c r="CV31"/>
  <c r="CU26"/>
  <c r="CX33"/>
  <c r="CV33"/>
  <c r="CW19"/>
  <c r="CX25"/>
  <c r="CW13"/>
  <c r="CY23"/>
  <c r="CY29"/>
  <c r="CW26"/>
  <c r="CW22"/>
  <c r="CW34"/>
  <c r="CY34" s="1"/>
  <c r="CZ34" s="1"/>
  <c r="CY35"/>
  <c r="CW28"/>
  <c r="CY28" s="1"/>
  <c r="CZ28" s="1"/>
  <c r="CX31"/>
  <c r="CW31"/>
  <c r="CW16"/>
  <c r="CV13"/>
  <c r="CX15"/>
  <c r="CX14"/>
  <c r="CY14" s="1"/>
  <c r="CZ14" s="1"/>
  <c r="CV16"/>
  <c r="CY17"/>
  <c r="BB31"/>
  <c r="BB33"/>
  <c r="BB34"/>
  <c r="BB28"/>
  <c r="BB25"/>
  <c r="BB27"/>
  <c r="BB21"/>
  <c r="BB20"/>
  <c r="BB16"/>
  <c r="BB19"/>
  <c r="BB14"/>
  <c r="BB13"/>
  <c r="CY25" l="1"/>
  <c r="CZ25" s="1"/>
  <c r="CY27"/>
  <c r="CZ27" s="1"/>
  <c r="CY21"/>
  <c r="CZ21" s="1"/>
  <c r="CY22"/>
  <c r="CZ22" s="1"/>
  <c r="CY19"/>
  <c r="CZ19" s="1"/>
  <c r="CY15"/>
  <c r="CZ15" s="1"/>
  <c r="CY31"/>
  <c r="CZ31" s="1"/>
  <c r="CY33"/>
  <c r="CZ33" s="1"/>
  <c r="CY13"/>
  <c r="CZ13" s="1"/>
  <c r="CY26"/>
  <c r="CZ26" s="1"/>
  <c r="CY16"/>
  <c r="CZ16" s="1"/>
  <c r="DA25" l="1"/>
  <c r="AM25" s="1"/>
  <c r="DA22"/>
  <c r="AM22" s="1"/>
  <c r="DA21"/>
  <c r="AM21" s="1"/>
  <c r="DA20"/>
  <c r="AM20" s="1"/>
  <c r="DA19"/>
  <c r="AM19" s="1"/>
  <c r="DA34"/>
  <c r="AM34" s="1"/>
  <c r="DA33"/>
  <c r="AM33" s="1"/>
  <c r="DA14"/>
  <c r="AM14" s="1"/>
  <c r="DA26"/>
  <c r="AM26" s="1"/>
  <c r="DA31"/>
  <c r="AM31" s="1"/>
  <c r="DA32"/>
  <c r="AM32" s="1"/>
  <c r="DA27"/>
  <c r="AM27" s="1"/>
  <c r="DA28"/>
  <c r="AM28" s="1"/>
  <c r="DA16"/>
  <c r="AM16" s="1"/>
  <c r="DA13"/>
  <c r="AM13" s="1"/>
  <c r="DA15"/>
  <c r="AM15" s="1"/>
  <c r="X57"/>
  <c r="AL69" s="1"/>
  <c r="M12" l="1"/>
  <c r="BC13" s="1"/>
  <c r="M18"/>
  <c r="BC19" s="1"/>
  <c r="DE25" s="1"/>
  <c r="R24"/>
  <c r="Q18"/>
  <c r="P24"/>
  <c r="Q24"/>
  <c r="O24"/>
  <c r="M24"/>
  <c r="BC25" s="1"/>
  <c r="DE29" s="1"/>
  <c r="R19"/>
  <c r="P19"/>
  <c r="P20"/>
  <c r="R21"/>
  <c r="R18"/>
  <c r="O21"/>
  <c r="M20"/>
  <c r="BC21" s="1"/>
  <c r="P21"/>
  <c r="O19"/>
  <c r="O20"/>
  <c r="P18"/>
  <c r="O18"/>
  <c r="Q21"/>
  <c r="M21"/>
  <c r="R25"/>
  <c r="Q20"/>
  <c r="M19"/>
  <c r="BC20" s="1"/>
  <c r="Q19"/>
  <c r="R20"/>
  <c r="M32"/>
  <c r="BC33" s="1"/>
  <c r="Q27"/>
  <c r="O31"/>
  <c r="R27"/>
  <c r="M30"/>
  <c r="BC31" s="1"/>
  <c r="DE21" s="1"/>
  <c r="P26"/>
  <c r="P31"/>
  <c r="O25"/>
  <c r="Q32"/>
  <c r="Q30"/>
  <c r="Q31"/>
  <c r="R31"/>
  <c r="O32"/>
  <c r="M31"/>
  <c r="BC32" s="1"/>
  <c r="DE30" s="1"/>
  <c r="O27"/>
  <c r="M25"/>
  <c r="BC26" s="1"/>
  <c r="DE22" s="1"/>
  <c r="R30"/>
  <c r="O30"/>
  <c r="Q26"/>
  <c r="Q33"/>
  <c r="M26"/>
  <c r="BC27" s="1"/>
  <c r="P32"/>
  <c r="P30"/>
  <c r="M27"/>
  <c r="R26"/>
  <c r="R32"/>
  <c r="R33"/>
  <c r="M33"/>
  <c r="O26"/>
  <c r="P27"/>
  <c r="O33"/>
  <c r="P33"/>
  <c r="P25"/>
  <c r="Q25"/>
  <c r="R14"/>
  <c r="O12"/>
  <c r="O15"/>
  <c r="Q13"/>
  <c r="Q15"/>
  <c r="P12"/>
  <c r="O13"/>
  <c r="M15"/>
  <c r="R15"/>
  <c r="P13"/>
  <c r="P14"/>
  <c r="P15"/>
  <c r="R12"/>
  <c r="M14"/>
  <c r="BC15" s="1"/>
  <c r="R13"/>
  <c r="Q12"/>
  <c r="Q14"/>
  <c r="O14"/>
  <c r="M13"/>
  <c r="BC14" s="1"/>
  <c r="DE26" s="1"/>
  <c r="V41"/>
  <c r="W41" l="1"/>
  <c r="DK27" s="1"/>
  <c r="DE17"/>
  <c r="DE18"/>
  <c r="N24"/>
  <c r="S24"/>
  <c r="S20"/>
  <c r="N21"/>
  <c r="N18"/>
  <c r="N20"/>
  <c r="S21"/>
  <c r="N19"/>
  <c r="S19"/>
  <c r="S18"/>
  <c r="N30"/>
  <c r="S31"/>
  <c r="S27"/>
  <c r="N31"/>
  <c r="S33"/>
  <c r="N26"/>
  <c r="N32"/>
  <c r="N27"/>
  <c r="S32"/>
  <c r="N33"/>
  <c r="S25"/>
  <c r="N25"/>
  <c r="S26"/>
  <c r="S30"/>
  <c r="S12"/>
  <c r="N12"/>
  <c r="N15"/>
  <c r="N13"/>
  <c r="N14"/>
  <c r="S14"/>
  <c r="S13"/>
  <c r="S15"/>
  <c r="V47"/>
  <c r="X58"/>
  <c r="AL70" s="1"/>
  <c r="W47" l="1"/>
  <c r="DQ24" s="1"/>
  <c r="V55" s="1"/>
  <c r="DN34" l="1"/>
  <c r="W55"/>
  <c r="V39"/>
  <c r="W39" l="1"/>
  <c r="DK19" s="1"/>
  <c r="V46" s="1"/>
  <c r="W46" l="1"/>
  <c r="DQ23" s="1"/>
  <c r="W48"/>
  <c r="DQ30" s="1"/>
  <c r="W49"/>
  <c r="DQ31" s="1"/>
</calcChain>
</file>

<file path=xl/sharedStrings.xml><?xml version="1.0" encoding="utf-8"?>
<sst xmlns="http://schemas.openxmlformats.org/spreadsheetml/2006/main" count="159" uniqueCount="144">
  <si>
    <t>F-A</t>
  </si>
  <si>
    <t>FIFA</t>
  </si>
  <si>
    <t>Group Round Sorting</t>
  </si>
  <si>
    <t>Goal Difference</t>
  </si>
  <si>
    <t>Goals Scored</t>
  </si>
  <si>
    <t>Concerned teams (Pnt, GF-GA, GF)</t>
  </si>
  <si>
    <t>Group Stage</t>
  </si>
  <si>
    <t>W</t>
  </si>
  <si>
    <t>D</t>
  </si>
  <si>
    <t>L</t>
  </si>
  <si>
    <t>Pnt</t>
  </si>
  <si>
    <t>Rank</t>
  </si>
  <si>
    <t>Team</t>
  </si>
  <si>
    <t>Place</t>
  </si>
  <si>
    <t>GF</t>
  </si>
  <si>
    <t>GA</t>
  </si>
  <si>
    <t>Final</t>
  </si>
  <si>
    <t>Quarterfinals</t>
  </si>
  <si>
    <t>Semi-Finals</t>
  </si>
  <si>
    <t>GF - GA</t>
  </si>
  <si>
    <t>English</t>
  </si>
  <si>
    <t>Group</t>
  </si>
  <si>
    <t>Date + Time + GMT</t>
  </si>
  <si>
    <t>Third-Place Play-Off</t>
  </si>
  <si>
    <t>GMT</t>
  </si>
  <si>
    <t>Language</t>
  </si>
  <si>
    <t>Jan</t>
  </si>
  <si>
    <t>Feb</t>
  </si>
  <si>
    <t>Apr</t>
  </si>
  <si>
    <t>Jun</t>
  </si>
  <si>
    <t>Jul</t>
  </si>
  <si>
    <t>Aug</t>
  </si>
  <si>
    <t>Sep</t>
  </si>
  <si>
    <t>Oct</t>
  </si>
  <si>
    <t>Nov</t>
  </si>
  <si>
    <t>Summer Time</t>
  </si>
  <si>
    <t>GTM-Time</t>
  </si>
  <si>
    <t>GMT + 1:00</t>
  </si>
  <si>
    <t>Minutes</t>
  </si>
  <si>
    <t>+0 min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</si>
  <si>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</si>
  <si>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</si>
  <si>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</si>
  <si>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</si>
  <si>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</si>
  <si>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</si>
  <si>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</si>
  <si>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</si>
  <si>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</si>
  <si>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</si>
  <si>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</si>
  <si>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</si>
  <si>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</si>
  <si>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</si>
  <si>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</si>
  <si>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</si>
  <si>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</si>
  <si>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</si>
  <si>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</si>
  <si>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</si>
  <si>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</si>
  <si>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</si>
  <si>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</si>
  <si>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</si>
  <si>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</si>
  <si>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Settings</t>
  </si>
  <si>
    <t>Language ID</t>
  </si>
  <si>
    <t>GMT Delta</t>
  </si>
  <si>
    <t>Sun</t>
  </si>
  <si>
    <t>Mon</t>
  </si>
  <si>
    <t>Tue</t>
  </si>
  <si>
    <t>Wed</t>
  </si>
  <si>
    <t>Thu</t>
  </si>
  <si>
    <t>Fri</t>
  </si>
  <si>
    <t>Sat</t>
  </si>
  <si>
    <t>Mar</t>
  </si>
  <si>
    <t>May</t>
  </si>
  <si>
    <t>Dec</t>
  </si>
  <si>
    <t>PNT</t>
  </si>
  <si>
    <t>PL</t>
  </si>
  <si>
    <t>DRAW</t>
  </si>
  <si>
    <t>R</t>
  </si>
  <si>
    <t>Delta</t>
  </si>
  <si>
    <t>Round of 16</t>
  </si>
  <si>
    <t>Points</t>
  </si>
  <si>
    <t>itype</t>
  </si>
  <si>
    <t>Step #1</t>
  </si>
  <si>
    <t>Step #2</t>
  </si>
  <si>
    <t>Step #3</t>
  </si>
  <si>
    <t>Step #4</t>
  </si>
  <si>
    <t>Step #5</t>
  </si>
  <si>
    <t>1A</t>
  </si>
  <si>
    <t>2A</t>
  </si>
  <si>
    <t>1B</t>
  </si>
  <si>
    <t>2B</t>
  </si>
  <si>
    <t>1C</t>
  </si>
  <si>
    <t>2C</t>
  </si>
  <si>
    <t>1D</t>
  </si>
  <si>
    <t>2D</t>
  </si>
  <si>
    <t>1E</t>
  </si>
  <si>
    <t>2E</t>
  </si>
  <si>
    <t>1F</t>
  </si>
  <si>
    <t>2F</t>
  </si>
  <si>
    <t>1G</t>
  </si>
  <si>
    <t>2G</t>
  </si>
  <si>
    <t>1H</t>
  </si>
  <si>
    <t>2H</t>
  </si>
  <si>
    <t>Home Page: www.excely.com</t>
  </si>
  <si>
    <t>en</t>
  </si>
  <si>
    <t>UEFA Rank</t>
  </si>
  <si>
    <t>Excel Techniques for Sorting Teams</t>
  </si>
  <si>
    <t>Angola</t>
  </si>
  <si>
    <t>Burkina Faso</t>
  </si>
  <si>
    <t>Cameroon</t>
  </si>
  <si>
    <t>Congo</t>
  </si>
  <si>
    <t>Equatorial Guinea</t>
  </si>
  <si>
    <t>Guinea</t>
  </si>
  <si>
    <t>Ivory Coast</t>
  </si>
  <si>
    <t>Libya</t>
  </si>
  <si>
    <t>Mauritania</t>
  </si>
  <si>
    <t>Morocco</t>
  </si>
  <si>
    <t>Namibia</t>
  </si>
  <si>
    <t>Nigeria</t>
  </si>
  <si>
    <t>Rwanda</t>
  </si>
  <si>
    <t>Sudan</t>
  </si>
  <si>
    <t>Uganda</t>
  </si>
  <si>
    <t>Zambia</t>
  </si>
  <si>
    <t>No</t>
  </si>
  <si>
    <t>Stade Mohamed V, Casablanca</t>
  </si>
  <si>
    <t>Stade de Marrakech, Marrakech</t>
  </si>
  <si>
    <t>Stade Ibn Batouta, Tangier</t>
  </si>
  <si>
    <t>Stade Adrar, Agadir</t>
  </si>
  <si>
    <t>Winner QF1</t>
  </si>
  <si>
    <t>Winner QF2</t>
  </si>
  <si>
    <t>Winner QF3</t>
  </si>
  <si>
    <t>Winner QF4</t>
  </si>
  <si>
    <t>Loser SF1</t>
  </si>
  <si>
    <t>Loser SF2</t>
  </si>
  <si>
    <t>Winner SF1</t>
  </si>
  <si>
    <t>Winner SF2</t>
  </si>
  <si>
    <t>2018 African Nations Championship Tournament Schedule</t>
  </si>
  <si>
    <t>FIFA Rank</t>
  </si>
  <si>
    <t>Excel Template to Compare Predictions</t>
  </si>
  <si>
    <t>Champion 2018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</si>
</sst>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;;;"/>
  </numFmts>
  <fonts count="18">
    <font>
      <sz val="10"/>
      <name val="Calibri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6"/>
      <name val="Calibri"/>
      <family val="2"/>
      <charset val="204"/>
    </font>
    <font>
      <sz val="10"/>
      <color indexed="12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2"/>
      <name val="Calibri"/>
      <family val="2"/>
      <charset val="204"/>
    </font>
    <font>
      <sz val="36"/>
      <name val="Calibri"/>
      <family val="2"/>
      <charset val="204"/>
    </font>
    <font>
      <u/>
      <sz val="10"/>
      <color indexed="12"/>
      <name val="Calibri"/>
      <family val="2"/>
      <charset val="204"/>
    </font>
    <font>
      <b/>
      <sz val="16"/>
      <color indexed="12"/>
      <name val="Calibri"/>
      <family val="2"/>
      <charset val="204"/>
    </font>
    <font>
      <b/>
      <sz val="10"/>
      <name val="Calibri"/>
      <family val="2"/>
      <charset val="204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</font>
    <font>
      <sz val="10"/>
      <name val="Calibri"/>
      <family val="2"/>
    </font>
    <font>
      <sz val="10"/>
      <color theme="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hair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/>
      <top style="medium">
        <color indexed="12"/>
      </top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3" tint="0.39991454817346722"/>
      </left>
      <right/>
      <top/>
      <bottom/>
      <diagonal/>
    </border>
    <border>
      <left/>
      <right style="thin">
        <color theme="3" tint="0.39991454817346722"/>
      </right>
      <top/>
      <bottom/>
      <diagonal/>
    </border>
    <border>
      <left/>
      <right/>
      <top style="thin">
        <color indexed="48"/>
      </top>
      <bottom style="hair">
        <color indexed="48"/>
      </bottom>
      <diagonal/>
    </border>
    <border>
      <left/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theme="3" tint="0.39988402966399123"/>
      </left>
      <right style="thin">
        <color indexed="48"/>
      </right>
      <top/>
      <bottom style="thin">
        <color theme="3" tint="0.39991454817346722"/>
      </bottom>
      <diagonal/>
    </border>
    <border>
      <left/>
      <right style="thin">
        <color indexed="48"/>
      </right>
      <top style="thin">
        <color theme="3" tint="0.39991454817346722"/>
      </top>
      <bottom/>
      <diagonal/>
    </border>
    <border>
      <left style="thin">
        <color theme="3" tint="0.39988402966399123"/>
      </left>
      <right/>
      <top/>
      <bottom style="thin">
        <color theme="3" tint="0.39991454817346722"/>
      </bottom>
      <diagonal/>
    </border>
    <border>
      <left style="thin">
        <color theme="3" tint="0.39988402966399123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 indent="1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vertical="center" shrinkToFit="1"/>
      <protection hidden="1"/>
    </xf>
    <xf numFmtId="0" fontId="0" fillId="0" borderId="13" xfId="0" applyBorder="1" applyAlignment="1" applyProtection="1">
      <alignment vertical="center" shrinkToFit="1"/>
      <protection hidden="1"/>
    </xf>
    <xf numFmtId="0" fontId="0" fillId="0" borderId="14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0" fillId="0" borderId="1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6" fillId="2" borderId="22" xfId="0" applyFont="1" applyFill="1" applyBorder="1" applyAlignment="1" applyProtection="1">
      <alignment horizontal="left" vertical="center"/>
      <protection hidden="1"/>
    </xf>
    <xf numFmtId="0" fontId="5" fillId="2" borderId="23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left" indent="1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5" fillId="4" borderId="26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5" fillId="0" borderId="0" xfId="0" applyNumberFormat="1" applyFont="1" applyProtection="1">
      <protection hidden="1"/>
    </xf>
    <xf numFmtId="0" fontId="5" fillId="2" borderId="22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/>
      <protection hidden="1"/>
    </xf>
    <xf numFmtId="0" fontId="5" fillId="4" borderId="28" xfId="0" applyFont="1" applyFill="1" applyBorder="1" applyProtection="1">
      <protection hidden="1"/>
    </xf>
    <xf numFmtId="0" fontId="5" fillId="4" borderId="26" xfId="0" applyFont="1" applyFill="1" applyBorder="1" applyProtection="1">
      <protection hidden="1"/>
    </xf>
    <xf numFmtId="165" fontId="6" fillId="0" borderId="0" xfId="0" applyNumberFormat="1" applyFont="1" applyFill="1" applyAlignment="1" applyProtection="1">
      <alignment horizontal="left" vertical="center"/>
      <protection hidden="1"/>
    </xf>
    <xf numFmtId="165" fontId="5" fillId="0" borderId="0" xfId="0" applyNumberFormat="1" applyFont="1" applyFill="1" applyProtection="1">
      <protection hidden="1"/>
    </xf>
    <xf numFmtId="165" fontId="5" fillId="0" borderId="0" xfId="0" applyNumberFormat="1" applyFont="1" applyFill="1" applyAlignment="1" applyProtection="1">
      <alignment horizontal="left"/>
      <protection hidden="1"/>
    </xf>
    <xf numFmtId="165" fontId="6" fillId="0" borderId="0" xfId="0" quotePrefix="1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Protection="1">
      <protection hidden="1"/>
    </xf>
    <xf numFmtId="0" fontId="1" fillId="0" borderId="0" xfId="0" applyFont="1"/>
    <xf numFmtId="0" fontId="1" fillId="3" borderId="6" xfId="0" applyFont="1" applyFill="1" applyBorder="1" applyAlignment="1" applyProtection="1">
      <alignment horizontal="left" vertical="center" inden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hidden="1"/>
    </xf>
    <xf numFmtId="0" fontId="11" fillId="5" borderId="11" xfId="0" applyFont="1" applyFill="1" applyBorder="1" applyAlignment="1" applyProtection="1">
      <alignment horizontal="center" vertical="center" shrinkToFit="1"/>
      <protection hidden="1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5" fillId="6" borderId="42" xfId="0" applyFont="1" applyFill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  <protection locked="0"/>
    </xf>
    <xf numFmtId="0" fontId="5" fillId="6" borderId="44" xfId="0" applyFont="1" applyFill="1" applyBorder="1" applyAlignment="1" applyProtection="1">
      <alignment horizontal="center" vertical="center"/>
      <protection locked="0"/>
    </xf>
    <xf numFmtId="0" fontId="5" fillId="6" borderId="40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indent="1"/>
      <protection locked="0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8" borderId="30" xfId="0" applyFill="1" applyBorder="1" applyAlignment="1" applyProtection="1">
      <alignment horizontal="center" vertical="center" shrinkToFit="1"/>
      <protection hidden="1"/>
    </xf>
    <xf numFmtId="0" fontId="1" fillId="8" borderId="31" xfId="0" applyFont="1" applyFill="1" applyBorder="1" applyAlignment="1" applyProtection="1">
      <alignment horizontal="center" vertical="center" shrinkToFit="1"/>
      <protection hidden="1"/>
    </xf>
    <xf numFmtId="0" fontId="0" fillId="8" borderId="31" xfId="0" applyFill="1" applyBorder="1" applyAlignment="1" applyProtection="1">
      <alignment horizontal="center" vertical="center" shrinkToFit="1"/>
      <protection hidden="1"/>
    </xf>
    <xf numFmtId="164" fontId="0" fillId="8" borderId="32" xfId="0" applyNumberForma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right" vertical="center" indent="3" shrinkToFit="1"/>
      <protection hidden="1"/>
    </xf>
    <xf numFmtId="0" fontId="0" fillId="8" borderId="34" xfId="0" applyFill="1" applyBorder="1" applyAlignment="1" applyProtection="1">
      <alignment horizontal="center" vertical="center" shrinkToFit="1"/>
      <protection hidden="1"/>
    </xf>
    <xf numFmtId="0" fontId="1" fillId="8" borderId="35" xfId="0" applyFont="1" applyFill="1" applyBorder="1" applyAlignment="1" applyProtection="1">
      <alignment horizontal="center" vertical="center" shrinkToFit="1"/>
      <protection hidden="1"/>
    </xf>
    <xf numFmtId="0" fontId="0" fillId="8" borderId="35" xfId="0" applyFill="1" applyBorder="1" applyAlignment="1" applyProtection="1">
      <alignment horizontal="center" vertical="center" shrinkToFit="1"/>
      <protection hidden="1"/>
    </xf>
    <xf numFmtId="164" fontId="0" fillId="8" borderId="36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3" shrinkToFit="1"/>
      <protection hidden="1"/>
    </xf>
    <xf numFmtId="0" fontId="0" fillId="8" borderId="32" xfId="0" applyFill="1" applyBorder="1" applyAlignment="1" applyProtection="1">
      <alignment horizontal="left" vertical="center" indent="3" shrinkToFit="1"/>
      <protection hidden="1"/>
    </xf>
    <xf numFmtId="0" fontId="0" fillId="8" borderId="36" xfId="0" applyFill="1" applyBorder="1" applyAlignment="1" applyProtection="1">
      <alignment horizontal="left" vertical="center" indent="3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55" xfId="0" applyFill="1" applyBorder="1" applyAlignment="1" applyProtection="1">
      <alignment vertical="center"/>
      <protection hidden="1"/>
    </xf>
    <xf numFmtId="0" fontId="0" fillId="8" borderId="57" xfId="0" applyFill="1" applyBorder="1" applyAlignment="1" applyProtection="1">
      <alignment vertical="center"/>
      <protection hidden="1"/>
    </xf>
    <xf numFmtId="0" fontId="0" fillId="8" borderId="54" xfId="0" applyFill="1" applyBorder="1" applyAlignment="1" applyProtection="1">
      <alignment vertical="center"/>
      <protection hidden="1"/>
    </xf>
    <xf numFmtId="0" fontId="0" fillId="8" borderId="56" xfId="0" applyFill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58" xfId="0" applyFill="1" applyBorder="1" applyAlignment="1" applyProtection="1">
      <alignment vertical="center"/>
      <protection hidden="1"/>
    </xf>
    <xf numFmtId="0" fontId="0" fillId="8" borderId="29" xfId="0" applyFill="1" applyBorder="1" applyAlignment="1" applyProtection="1">
      <alignment horizontal="left" vertical="center" shrinkToFit="1"/>
      <protection hidden="1"/>
    </xf>
    <xf numFmtId="0" fontId="0" fillId="8" borderId="34" xfId="0" applyFill="1" applyBorder="1" applyAlignment="1" applyProtection="1">
      <alignment horizontal="left" vertical="center" shrinkToFit="1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3" fontId="5" fillId="4" borderId="25" xfId="0" applyNumberFormat="1" applyFont="1" applyFill="1" applyBorder="1" applyAlignment="1" applyProtection="1">
      <alignment horizontal="center"/>
      <protection hidden="1"/>
    </xf>
    <xf numFmtId="3" fontId="5" fillId="4" borderId="26" xfId="0" applyNumberFormat="1" applyFont="1" applyFill="1" applyBorder="1" applyAlignment="1" applyProtection="1">
      <alignment horizontal="center"/>
      <protection hidden="1"/>
    </xf>
    <xf numFmtId="3" fontId="5" fillId="4" borderId="27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Alignment="1" applyProtection="1">
      <alignment vertical="center"/>
      <protection hidden="1"/>
    </xf>
    <xf numFmtId="0" fontId="1" fillId="6" borderId="65" xfId="0" applyFont="1" applyFill="1" applyBorder="1" applyAlignment="1" applyProtection="1">
      <alignment horizontal="center" vertical="center"/>
      <protection locked="0"/>
    </xf>
    <xf numFmtId="0" fontId="1" fillId="6" borderId="3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0" fillId="0" borderId="0" xfId="0" applyFill="1"/>
    <xf numFmtId="0" fontId="0" fillId="8" borderId="29" xfId="0" applyFill="1" applyBorder="1" applyAlignment="1" applyProtection="1">
      <alignment horizontal="center" vertical="center" shrinkToFit="1"/>
      <protection hidden="1"/>
    </xf>
    <xf numFmtId="0" fontId="1" fillId="8" borderId="74" xfId="0" applyFont="1" applyFill="1" applyBorder="1" applyAlignment="1" applyProtection="1">
      <alignment horizontal="center" vertical="center" shrinkToFit="1"/>
      <protection hidden="1"/>
    </xf>
    <xf numFmtId="0" fontId="0" fillId="8" borderId="74" xfId="0" applyFill="1" applyBorder="1" applyAlignment="1" applyProtection="1">
      <alignment horizontal="center" vertical="center" shrinkToFit="1"/>
      <protection hidden="1"/>
    </xf>
    <xf numFmtId="164" fontId="0" fillId="8" borderId="75" xfId="0" applyNumberFormat="1" applyFill="1" applyBorder="1" applyAlignment="1" applyProtection="1">
      <alignment horizontal="center" vertical="center" shrinkToFit="1"/>
      <protection hidden="1"/>
    </xf>
    <xf numFmtId="0" fontId="0" fillId="8" borderId="76" xfId="0" applyFill="1" applyBorder="1" applyAlignment="1" applyProtection="1">
      <alignment horizontal="right" vertical="center" indent="3" shrinkToFit="1"/>
      <protection hidden="1"/>
    </xf>
    <xf numFmtId="0" fontId="5" fillId="6" borderId="76" xfId="0" applyFont="1" applyFill="1" applyBorder="1" applyAlignment="1" applyProtection="1">
      <alignment horizontal="center" vertical="center"/>
      <protection locked="0"/>
    </xf>
    <xf numFmtId="0" fontId="0" fillId="8" borderId="75" xfId="0" applyFill="1" applyBorder="1" applyAlignment="1" applyProtection="1">
      <alignment horizontal="left" vertical="center" indent="3" shrinkToFit="1"/>
      <protection hidden="1"/>
    </xf>
    <xf numFmtId="0" fontId="0" fillId="8" borderId="78" xfId="0" applyFill="1" applyBorder="1" applyAlignment="1" applyProtection="1">
      <alignment vertical="center"/>
      <protection hidden="1"/>
    </xf>
    <xf numFmtId="0" fontId="0" fillId="8" borderId="79" xfId="0" applyFill="1" applyBorder="1" applyAlignment="1" applyProtection="1">
      <alignment vertical="center"/>
      <protection hidden="1"/>
    </xf>
    <xf numFmtId="0" fontId="0" fillId="8" borderId="81" xfId="0" applyFill="1" applyBorder="1" applyAlignment="1" applyProtection="1">
      <alignment vertical="center"/>
      <protection hidden="1"/>
    </xf>
    <xf numFmtId="0" fontId="0" fillId="8" borderId="80" xfId="0" applyFill="1" applyBorder="1" applyAlignment="1" applyProtection="1">
      <alignment vertical="center"/>
      <protection hidden="1"/>
    </xf>
    <xf numFmtId="0" fontId="16" fillId="0" borderId="0" xfId="0" applyFont="1"/>
    <xf numFmtId="0" fontId="1" fillId="4" borderId="27" xfId="0" applyFont="1" applyFill="1" applyBorder="1" applyProtection="1">
      <protection hidden="1"/>
    </xf>
    <xf numFmtId="165" fontId="17" fillId="0" borderId="0" xfId="0" applyNumberFormat="1" applyFont="1" applyFill="1" applyBorder="1" applyAlignment="1" applyProtection="1">
      <alignment horizontal="center" vertical="center"/>
      <protection hidden="1"/>
    </xf>
    <xf numFmtId="165" fontId="17" fillId="0" borderId="0" xfId="0" applyNumberFormat="1" applyFont="1" applyFill="1" applyBorder="1" applyAlignment="1" applyProtection="1">
      <alignment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vertical="center"/>
      <protection hidden="1"/>
    </xf>
    <xf numFmtId="165" fontId="17" fillId="0" borderId="0" xfId="0" applyNumberFormat="1" applyFont="1" applyAlignment="1" applyProtection="1">
      <alignment vertical="center"/>
      <protection hidden="1"/>
    </xf>
    <xf numFmtId="165" fontId="17" fillId="0" borderId="0" xfId="0" applyNumberFormat="1" applyFont="1" applyFill="1" applyBorder="1" applyAlignment="1" applyProtection="1">
      <alignment horizontal="left" vertical="center"/>
      <protection hidden="1"/>
    </xf>
    <xf numFmtId="165" fontId="17" fillId="0" borderId="0" xfId="0" applyNumberFormat="1" applyFont="1" applyBorder="1" applyAlignment="1" applyProtection="1">
      <alignment horizontal="center" vertical="center" textRotation="90"/>
      <protection hidden="1"/>
    </xf>
    <xf numFmtId="0" fontId="11" fillId="5" borderId="8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NumberFormat="1" applyFill="1" applyBorder="1" applyAlignment="1" applyProtection="1">
      <alignment horizontal="right" vertical="center" indent="3" shrinkToFit="1"/>
      <protection hidden="1"/>
    </xf>
    <xf numFmtId="0" fontId="15" fillId="5" borderId="59" xfId="0" applyFont="1" applyFill="1" applyBorder="1" applyAlignment="1" applyProtection="1">
      <alignment horizontal="center" vertical="center"/>
      <protection hidden="1"/>
    </xf>
    <xf numFmtId="0" fontId="15" fillId="5" borderId="60" xfId="0" applyFont="1" applyFill="1" applyBorder="1" applyAlignment="1" applyProtection="1">
      <alignment horizontal="center" vertical="center"/>
      <protection hidden="1"/>
    </xf>
    <xf numFmtId="0" fontId="15" fillId="5" borderId="61" xfId="0" applyFont="1" applyFill="1" applyBorder="1" applyAlignment="1" applyProtection="1">
      <alignment horizontal="center" vertical="center"/>
      <protection hidden="1"/>
    </xf>
    <xf numFmtId="0" fontId="15" fillId="5" borderId="62" xfId="0" applyFont="1" applyFill="1" applyBorder="1" applyAlignment="1" applyProtection="1">
      <alignment horizontal="center" vertical="center"/>
      <protection hidden="1"/>
    </xf>
    <xf numFmtId="0" fontId="15" fillId="5" borderId="63" xfId="0" applyFont="1" applyFill="1" applyBorder="1" applyAlignment="1" applyProtection="1">
      <alignment horizontal="center" vertical="center"/>
      <protection hidden="1"/>
    </xf>
    <xf numFmtId="0" fontId="15" fillId="5" borderId="64" xfId="0" applyFont="1" applyFill="1" applyBorder="1" applyAlignment="1" applyProtection="1">
      <alignment horizontal="center" vertical="center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0" fillId="8" borderId="53" xfId="0" applyFill="1" applyBorder="1" applyAlignment="1" applyProtection="1">
      <alignment horizontal="center" vertical="center"/>
      <protection hidden="1"/>
    </xf>
    <xf numFmtId="0" fontId="1" fillId="8" borderId="33" xfId="0" applyFont="1" applyFill="1" applyBorder="1" applyAlignment="1" applyProtection="1">
      <alignment horizontal="right" vertical="center" shrinkToFit="1"/>
      <protection hidden="1"/>
    </xf>
    <xf numFmtId="0" fontId="0" fillId="8" borderId="31" xfId="0" applyFill="1" applyBorder="1" applyAlignment="1" applyProtection="1">
      <alignment horizontal="right" vertical="center" shrinkToFit="1"/>
      <protection hidden="1"/>
    </xf>
    <xf numFmtId="0" fontId="0" fillId="8" borderId="38" xfId="0" applyFill="1" applyBorder="1" applyAlignment="1" applyProtection="1">
      <alignment horizontal="right" vertical="center" shrinkToFit="1"/>
      <protection hidden="1"/>
    </xf>
    <xf numFmtId="0" fontId="1" fillId="8" borderId="31" xfId="0" applyFont="1" applyFill="1" applyBorder="1" applyAlignment="1" applyProtection="1">
      <alignment horizontal="right" vertical="center" shrinkToFit="1"/>
      <protection hidden="1"/>
    </xf>
    <xf numFmtId="0" fontId="1" fillId="8" borderId="38" xfId="0" applyFont="1" applyFill="1" applyBorder="1" applyAlignment="1" applyProtection="1">
      <alignment horizontal="right" vertical="center" shrinkToFit="1"/>
      <protection hidden="1"/>
    </xf>
    <xf numFmtId="0" fontId="3" fillId="0" borderId="45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10" fillId="0" borderId="45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1" fillId="8" borderId="37" xfId="0" applyFont="1" applyFill="1" applyBorder="1" applyAlignment="1" applyProtection="1">
      <alignment horizontal="right" vertical="center" shrinkToFit="1"/>
      <protection hidden="1"/>
    </xf>
    <xf numFmtId="0" fontId="0" fillId="8" borderId="35" xfId="0" applyFill="1" applyBorder="1" applyAlignment="1" applyProtection="1">
      <alignment horizontal="right" vertical="center" shrinkToFit="1"/>
      <protection hidden="1"/>
    </xf>
    <xf numFmtId="0" fontId="0" fillId="8" borderId="39" xfId="0" applyFill="1" applyBorder="1" applyAlignment="1" applyProtection="1">
      <alignment horizontal="right" vertical="center" shrinkToFit="1"/>
      <protection hidden="1"/>
    </xf>
    <xf numFmtId="0" fontId="14" fillId="7" borderId="66" xfId="0" applyFont="1" applyFill="1" applyBorder="1" applyAlignment="1" applyProtection="1">
      <alignment horizontal="center" vertical="center"/>
      <protection hidden="1"/>
    </xf>
    <xf numFmtId="0" fontId="14" fillId="7" borderId="67" xfId="0" applyFont="1" applyFill="1" applyBorder="1" applyAlignment="1" applyProtection="1">
      <alignment horizontal="center" vertical="center"/>
      <protection hidden="1"/>
    </xf>
    <xf numFmtId="0" fontId="14" fillId="7" borderId="68" xfId="0" applyFont="1" applyFill="1" applyBorder="1" applyAlignment="1" applyProtection="1">
      <alignment horizontal="center" vertical="center"/>
      <protection hidden="1"/>
    </xf>
    <xf numFmtId="0" fontId="14" fillId="7" borderId="69" xfId="0" applyFont="1" applyFill="1" applyBorder="1" applyAlignment="1" applyProtection="1">
      <alignment horizontal="center" vertical="center"/>
      <protection hidden="1"/>
    </xf>
    <xf numFmtId="0" fontId="14" fillId="7" borderId="70" xfId="0" applyFont="1" applyFill="1" applyBorder="1" applyAlignment="1" applyProtection="1">
      <alignment horizontal="center" vertical="center"/>
      <protection hidden="1"/>
    </xf>
    <xf numFmtId="0" fontId="14" fillId="7" borderId="7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13" fillId="7" borderId="46" xfId="1" applyFont="1" applyFill="1" applyBorder="1" applyAlignment="1" applyProtection="1">
      <alignment horizontal="center" vertical="center"/>
      <protection hidden="1"/>
    </xf>
    <xf numFmtId="0" fontId="13" fillId="7" borderId="47" xfId="1" applyFont="1" applyFill="1" applyBorder="1" applyAlignment="1" applyProtection="1">
      <alignment horizontal="center" vertical="center"/>
      <protection hidden="1"/>
    </xf>
    <xf numFmtId="0" fontId="13" fillId="7" borderId="48" xfId="1" applyFont="1" applyFill="1" applyBorder="1" applyAlignment="1" applyProtection="1">
      <alignment horizontal="center" vertical="center"/>
      <protection hidden="1"/>
    </xf>
    <xf numFmtId="0" fontId="13" fillId="7" borderId="49" xfId="1" applyFont="1" applyFill="1" applyBorder="1" applyAlignment="1" applyProtection="1">
      <alignment horizontal="center" vertical="center"/>
      <protection hidden="1"/>
    </xf>
    <xf numFmtId="0" fontId="13" fillId="7" borderId="50" xfId="1" applyFont="1" applyFill="1" applyBorder="1" applyAlignment="1" applyProtection="1">
      <alignment horizontal="center" vertical="center"/>
      <protection hidden="1"/>
    </xf>
    <xf numFmtId="0" fontId="13" fillId="7" borderId="51" xfId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12" fillId="5" borderId="46" xfId="0" applyFont="1" applyFill="1" applyBorder="1" applyAlignment="1" applyProtection="1">
      <alignment horizontal="center" vertical="center"/>
      <protection hidden="1"/>
    </xf>
    <xf numFmtId="0" fontId="12" fillId="5" borderId="47" xfId="0" applyFont="1" applyFill="1" applyBorder="1" applyAlignment="1" applyProtection="1">
      <alignment horizontal="center" vertical="center"/>
      <protection hidden="1"/>
    </xf>
    <xf numFmtId="0" fontId="12" fillId="5" borderId="48" xfId="0" applyFont="1" applyFill="1" applyBorder="1" applyAlignment="1" applyProtection="1">
      <alignment horizontal="center" vertical="center"/>
      <protection hidden="1"/>
    </xf>
    <xf numFmtId="0" fontId="12" fillId="5" borderId="72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horizontal="center" vertical="center"/>
      <protection hidden="1"/>
    </xf>
    <xf numFmtId="0" fontId="12" fillId="5" borderId="73" xfId="0" applyFont="1" applyFill="1" applyBorder="1" applyAlignment="1" applyProtection="1">
      <alignment horizontal="center" vertical="center"/>
      <protection hidden="1"/>
    </xf>
    <xf numFmtId="0" fontId="1" fillId="8" borderId="77" xfId="0" applyFont="1" applyFill="1" applyBorder="1" applyAlignment="1" applyProtection="1">
      <alignment horizontal="right" vertical="center" shrinkToFit="1"/>
      <protection hidden="1"/>
    </xf>
    <xf numFmtId="0" fontId="0" fillId="8" borderId="74" xfId="0" applyFill="1" applyBorder="1" applyAlignment="1" applyProtection="1">
      <alignment horizontal="right" vertical="center" shrinkToFit="1"/>
      <protection hidden="1"/>
    </xf>
    <xf numFmtId="0" fontId="0" fillId="8" borderId="65" xfId="0" applyFill="1" applyBorder="1" applyAlignment="1" applyProtection="1">
      <alignment horizontal="right" vertical="center" shrinkToFit="1"/>
      <protection hidden="1"/>
    </xf>
  </cellXfs>
  <cellStyles count="2">
    <cellStyle name="Hyperlink" xfId="1" builtinId="8"/>
    <cellStyle name="Normal" xfId="0" builtinId="0"/>
  </cellStyles>
  <dxfs count="80"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21590</xdr:colOff>
      <xdr:row>8</xdr:row>
      <xdr:rowOff>158750</xdr:rowOff>
    </xdr:from>
    <xdr:to>
      <xdr:col>7</xdr:col>
      <xdr:colOff>204447</xdr:colOff>
      <xdr:row>10</xdr:row>
      <xdr:rowOff>11407</xdr:rowOff>
    </xdr:to>
    <xdr:pic>
      <xdr:nvPicPr>
        <xdr:cNvPr id="13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1620" y="149225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17</xdr:row>
      <xdr:rowOff>156210</xdr:rowOff>
    </xdr:from>
    <xdr:to>
      <xdr:col>7</xdr:col>
      <xdr:colOff>201907</xdr:colOff>
      <xdr:row>19</xdr:row>
      <xdr:rowOff>10137</xdr:rowOff>
    </xdr:to>
    <xdr:pic>
      <xdr:nvPicPr>
        <xdr:cNvPr id="1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9080" y="296418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1297940</xdr:colOff>
      <xdr:row>26</xdr:row>
      <xdr:rowOff>0</xdr:rowOff>
    </xdr:from>
    <xdr:to>
      <xdr:col>4</xdr:col>
      <xdr:colOff>1480797</xdr:colOff>
      <xdr:row>27</xdr:row>
      <xdr:rowOff>17757</xdr:rowOff>
    </xdr:to>
    <xdr:pic>
      <xdr:nvPicPr>
        <xdr:cNvPr id="1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1520" y="428244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1291360</xdr:colOff>
      <xdr:row>8</xdr:row>
      <xdr:rowOff>152400</xdr:rowOff>
    </xdr:from>
    <xdr:to>
      <xdr:col>4</xdr:col>
      <xdr:colOff>1474217</xdr:colOff>
      <xdr:row>10</xdr:row>
      <xdr:rowOff>5057</xdr:rowOff>
    </xdr:to>
    <xdr:pic>
      <xdr:nvPicPr>
        <xdr:cNvPr id="1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61303" y="1468582"/>
          <a:ext cx="182857" cy="17304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1294130</xdr:colOff>
      <xdr:row>16</xdr:row>
      <xdr:rowOff>156210</xdr:rowOff>
    </xdr:from>
    <xdr:to>
      <xdr:col>4</xdr:col>
      <xdr:colOff>1476987</xdr:colOff>
      <xdr:row>18</xdr:row>
      <xdr:rowOff>10137</xdr:rowOff>
    </xdr:to>
    <xdr:pic>
      <xdr:nvPicPr>
        <xdr:cNvPr id="17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67710" y="280035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20320</xdr:colOff>
      <xdr:row>24</xdr:row>
      <xdr:rowOff>160020</xdr:rowOff>
    </xdr:from>
    <xdr:to>
      <xdr:col>7</xdr:col>
      <xdr:colOff>203177</xdr:colOff>
      <xdr:row>26</xdr:row>
      <xdr:rowOff>13947</xdr:rowOff>
    </xdr:to>
    <xdr:pic>
      <xdr:nvPicPr>
        <xdr:cNvPr id="18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0350" y="411480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1295423</xdr:colOff>
      <xdr:row>9</xdr:row>
      <xdr:rowOff>149883</xdr:rowOff>
    </xdr:from>
    <xdr:to>
      <xdr:col>4</xdr:col>
      <xdr:colOff>1478280</xdr:colOff>
      <xdr:row>11</xdr:row>
      <xdr:rowOff>3810</xdr:rowOff>
    </xdr:to>
    <xdr:pic>
      <xdr:nvPicPr>
        <xdr:cNvPr id="19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69003" y="1647213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</xdr:colOff>
      <xdr:row>16</xdr:row>
      <xdr:rowOff>152400</xdr:rowOff>
    </xdr:from>
    <xdr:to>
      <xdr:col>7</xdr:col>
      <xdr:colOff>205717</xdr:colOff>
      <xdr:row>18</xdr:row>
      <xdr:rowOff>5057</xdr:rowOff>
    </xdr:to>
    <xdr:pic>
      <xdr:nvPicPr>
        <xdr:cNvPr id="20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72890" y="279654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24130</xdr:colOff>
      <xdr:row>25</xdr:row>
      <xdr:rowOff>160020</xdr:rowOff>
    </xdr:from>
    <xdr:to>
      <xdr:col>7</xdr:col>
      <xdr:colOff>206987</xdr:colOff>
      <xdr:row>27</xdr:row>
      <xdr:rowOff>13947</xdr:rowOff>
    </xdr:to>
    <xdr:pic>
      <xdr:nvPicPr>
        <xdr:cNvPr id="21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74160" y="427863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9</xdr:row>
      <xdr:rowOff>160020</xdr:rowOff>
    </xdr:from>
    <xdr:to>
      <xdr:col>7</xdr:col>
      <xdr:colOff>201907</xdr:colOff>
      <xdr:row>11</xdr:row>
      <xdr:rowOff>13947</xdr:rowOff>
    </xdr:to>
    <xdr:pic>
      <xdr:nvPicPr>
        <xdr:cNvPr id="2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69080" y="165735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1294130</xdr:colOff>
      <xdr:row>17</xdr:row>
      <xdr:rowOff>160020</xdr:rowOff>
    </xdr:from>
    <xdr:to>
      <xdr:col>4</xdr:col>
      <xdr:colOff>1476987</xdr:colOff>
      <xdr:row>19</xdr:row>
      <xdr:rowOff>13947</xdr:rowOff>
    </xdr:to>
    <xdr:pic>
      <xdr:nvPicPr>
        <xdr:cNvPr id="2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67710" y="296799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1294130</xdr:colOff>
      <xdr:row>24</xdr:row>
      <xdr:rowOff>154940</xdr:rowOff>
    </xdr:from>
    <xdr:to>
      <xdr:col>4</xdr:col>
      <xdr:colOff>1476987</xdr:colOff>
      <xdr:row>26</xdr:row>
      <xdr:rowOff>7597</xdr:rowOff>
    </xdr:to>
    <xdr:pic>
      <xdr:nvPicPr>
        <xdr:cNvPr id="2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67710" y="410972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1297940</xdr:colOff>
      <xdr:row>10</xdr:row>
      <xdr:rowOff>158750</xdr:rowOff>
    </xdr:from>
    <xdr:to>
      <xdr:col>4</xdr:col>
      <xdr:colOff>1480797</xdr:colOff>
      <xdr:row>12</xdr:row>
      <xdr:rowOff>11407</xdr:rowOff>
    </xdr:to>
    <xdr:pic>
      <xdr:nvPicPr>
        <xdr:cNvPr id="2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71520" y="181991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1294130</xdr:colOff>
      <xdr:row>19</xdr:row>
      <xdr:rowOff>6350</xdr:rowOff>
    </xdr:from>
    <xdr:to>
      <xdr:col>4</xdr:col>
      <xdr:colOff>1476987</xdr:colOff>
      <xdr:row>20</xdr:row>
      <xdr:rowOff>24107</xdr:rowOff>
    </xdr:to>
    <xdr:pic>
      <xdr:nvPicPr>
        <xdr:cNvPr id="26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67710" y="314198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20320</xdr:colOff>
      <xdr:row>26</xdr:row>
      <xdr:rowOff>151130</xdr:rowOff>
    </xdr:from>
    <xdr:to>
      <xdr:col>7</xdr:col>
      <xdr:colOff>203177</xdr:colOff>
      <xdr:row>28</xdr:row>
      <xdr:rowOff>3787</xdr:rowOff>
    </xdr:to>
    <xdr:pic>
      <xdr:nvPicPr>
        <xdr:cNvPr id="27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70350" y="443357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</xdr:colOff>
      <xdr:row>10</xdr:row>
      <xdr:rowOff>156210</xdr:rowOff>
    </xdr:from>
    <xdr:to>
      <xdr:col>7</xdr:col>
      <xdr:colOff>205717</xdr:colOff>
      <xdr:row>12</xdr:row>
      <xdr:rowOff>10137</xdr:rowOff>
    </xdr:to>
    <xdr:pic>
      <xdr:nvPicPr>
        <xdr:cNvPr id="28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72890" y="181737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19</xdr:row>
      <xdr:rowOff>152400</xdr:rowOff>
    </xdr:from>
    <xdr:to>
      <xdr:col>7</xdr:col>
      <xdr:colOff>201907</xdr:colOff>
      <xdr:row>21</xdr:row>
      <xdr:rowOff>6327</xdr:rowOff>
    </xdr:to>
    <xdr:pic>
      <xdr:nvPicPr>
        <xdr:cNvPr id="29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69080" y="328803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1295400</xdr:colOff>
      <xdr:row>27</xdr:row>
      <xdr:rowOff>158750</xdr:rowOff>
    </xdr:from>
    <xdr:to>
      <xdr:col>4</xdr:col>
      <xdr:colOff>1478257</xdr:colOff>
      <xdr:row>29</xdr:row>
      <xdr:rowOff>11407</xdr:rowOff>
    </xdr:to>
    <xdr:pic>
      <xdr:nvPicPr>
        <xdr:cNvPr id="3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68980" y="460502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1300480</xdr:colOff>
      <xdr:row>11</xdr:row>
      <xdr:rowOff>160020</xdr:rowOff>
    </xdr:from>
    <xdr:to>
      <xdr:col>4</xdr:col>
      <xdr:colOff>1483337</xdr:colOff>
      <xdr:row>13</xdr:row>
      <xdr:rowOff>12677</xdr:rowOff>
    </xdr:to>
    <xdr:pic>
      <xdr:nvPicPr>
        <xdr:cNvPr id="3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74060" y="198501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18</xdr:row>
      <xdr:rowOff>156210</xdr:rowOff>
    </xdr:from>
    <xdr:to>
      <xdr:col>7</xdr:col>
      <xdr:colOff>201907</xdr:colOff>
      <xdr:row>20</xdr:row>
      <xdr:rowOff>10137</xdr:rowOff>
    </xdr:to>
    <xdr:pic>
      <xdr:nvPicPr>
        <xdr:cNvPr id="32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69080" y="312801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15240</xdr:colOff>
      <xdr:row>27</xdr:row>
      <xdr:rowOff>156210</xdr:rowOff>
    </xdr:from>
    <xdr:to>
      <xdr:col>7</xdr:col>
      <xdr:colOff>198097</xdr:colOff>
      <xdr:row>29</xdr:row>
      <xdr:rowOff>10137</xdr:rowOff>
    </xdr:to>
    <xdr:pic>
      <xdr:nvPicPr>
        <xdr:cNvPr id="3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65270" y="460248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</xdr:colOff>
      <xdr:row>11</xdr:row>
      <xdr:rowOff>156210</xdr:rowOff>
    </xdr:from>
    <xdr:to>
      <xdr:col>7</xdr:col>
      <xdr:colOff>205717</xdr:colOff>
      <xdr:row>13</xdr:row>
      <xdr:rowOff>10137</xdr:rowOff>
    </xdr:to>
    <xdr:pic>
      <xdr:nvPicPr>
        <xdr:cNvPr id="34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72890" y="198120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1291590</xdr:colOff>
      <xdr:row>19</xdr:row>
      <xdr:rowOff>156210</xdr:rowOff>
    </xdr:from>
    <xdr:to>
      <xdr:col>4</xdr:col>
      <xdr:colOff>1474447</xdr:colOff>
      <xdr:row>21</xdr:row>
      <xdr:rowOff>10137</xdr:rowOff>
    </xdr:to>
    <xdr:pic>
      <xdr:nvPicPr>
        <xdr:cNvPr id="35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65170" y="329184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1295400</xdr:colOff>
      <xdr:row>26</xdr:row>
      <xdr:rowOff>154940</xdr:rowOff>
    </xdr:from>
    <xdr:to>
      <xdr:col>4</xdr:col>
      <xdr:colOff>1478257</xdr:colOff>
      <xdr:row>28</xdr:row>
      <xdr:rowOff>7597</xdr:rowOff>
    </xdr:to>
    <xdr:pic>
      <xdr:nvPicPr>
        <xdr:cNvPr id="36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68980" y="443738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1322070</xdr:colOff>
      <xdr:row>13</xdr:row>
      <xdr:rowOff>19050</xdr:rowOff>
    </xdr:from>
    <xdr:to>
      <xdr:col>4</xdr:col>
      <xdr:colOff>1459230</xdr:colOff>
      <xdr:row>13</xdr:row>
      <xdr:rowOff>156210</xdr:rowOff>
    </xdr:to>
    <xdr:pic>
      <xdr:nvPicPr>
        <xdr:cNvPr id="37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95650" y="2171700"/>
          <a:ext cx="137160" cy="13716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1310640</xdr:colOff>
      <xdr:row>21</xdr:row>
      <xdr:rowOff>16510</xdr:rowOff>
    </xdr:from>
    <xdr:to>
      <xdr:col>4</xdr:col>
      <xdr:colOff>1447800</xdr:colOff>
      <xdr:row>21</xdr:row>
      <xdr:rowOff>153670</xdr:rowOff>
    </xdr:to>
    <xdr:pic>
      <xdr:nvPicPr>
        <xdr:cNvPr id="3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84220" y="3479800"/>
          <a:ext cx="137160" cy="137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39370</xdr:colOff>
      <xdr:row>29</xdr:row>
      <xdr:rowOff>12700</xdr:rowOff>
    </xdr:from>
    <xdr:to>
      <xdr:col>7</xdr:col>
      <xdr:colOff>176530</xdr:colOff>
      <xdr:row>29</xdr:row>
      <xdr:rowOff>149860</xdr:rowOff>
    </xdr:to>
    <xdr:pic>
      <xdr:nvPicPr>
        <xdr:cNvPr id="39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89400" y="4786630"/>
          <a:ext cx="137160" cy="137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</xdr:colOff>
      <xdr:row>12</xdr:row>
      <xdr:rowOff>156210</xdr:rowOff>
    </xdr:from>
    <xdr:to>
      <xdr:col>7</xdr:col>
      <xdr:colOff>209527</xdr:colOff>
      <xdr:row>14</xdr:row>
      <xdr:rowOff>10137</xdr:rowOff>
    </xdr:to>
    <xdr:pic>
      <xdr:nvPicPr>
        <xdr:cNvPr id="40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76700" y="214503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21</xdr:row>
      <xdr:rowOff>156210</xdr:rowOff>
    </xdr:from>
    <xdr:to>
      <xdr:col>7</xdr:col>
      <xdr:colOff>201907</xdr:colOff>
      <xdr:row>23</xdr:row>
      <xdr:rowOff>10137</xdr:rowOff>
    </xdr:to>
    <xdr:pic>
      <xdr:nvPicPr>
        <xdr:cNvPr id="41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69080" y="361950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1296670</xdr:colOff>
      <xdr:row>29</xdr:row>
      <xdr:rowOff>154940</xdr:rowOff>
    </xdr:from>
    <xdr:to>
      <xdr:col>4</xdr:col>
      <xdr:colOff>1479527</xdr:colOff>
      <xdr:row>31</xdr:row>
      <xdr:rowOff>7597</xdr:rowOff>
    </xdr:to>
    <xdr:pic>
      <xdr:nvPicPr>
        <xdr:cNvPr id="42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70250" y="492887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1296670</xdr:colOff>
      <xdr:row>13</xdr:row>
      <xdr:rowOff>156210</xdr:rowOff>
    </xdr:from>
    <xdr:to>
      <xdr:col>4</xdr:col>
      <xdr:colOff>1479527</xdr:colOff>
      <xdr:row>15</xdr:row>
      <xdr:rowOff>10137</xdr:rowOff>
    </xdr:to>
    <xdr:pic>
      <xdr:nvPicPr>
        <xdr:cNvPr id="43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70250" y="230886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15240</xdr:colOff>
      <xdr:row>20</xdr:row>
      <xdr:rowOff>152400</xdr:rowOff>
    </xdr:from>
    <xdr:to>
      <xdr:col>7</xdr:col>
      <xdr:colOff>198097</xdr:colOff>
      <xdr:row>22</xdr:row>
      <xdr:rowOff>6327</xdr:rowOff>
    </xdr:to>
    <xdr:pic>
      <xdr:nvPicPr>
        <xdr:cNvPr id="44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65270" y="345186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29</xdr:row>
      <xdr:rowOff>160020</xdr:rowOff>
    </xdr:from>
    <xdr:to>
      <xdr:col>7</xdr:col>
      <xdr:colOff>201907</xdr:colOff>
      <xdr:row>31</xdr:row>
      <xdr:rowOff>13947</xdr:rowOff>
    </xdr:to>
    <xdr:pic>
      <xdr:nvPicPr>
        <xdr:cNvPr id="4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69080" y="493395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30480</xdr:colOff>
      <xdr:row>13</xdr:row>
      <xdr:rowOff>156210</xdr:rowOff>
    </xdr:from>
    <xdr:to>
      <xdr:col>7</xdr:col>
      <xdr:colOff>213337</xdr:colOff>
      <xdr:row>15</xdr:row>
      <xdr:rowOff>10137</xdr:rowOff>
    </xdr:to>
    <xdr:pic>
      <xdr:nvPicPr>
        <xdr:cNvPr id="4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80510" y="230886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1299233</xdr:colOff>
      <xdr:row>21</xdr:row>
      <xdr:rowOff>160020</xdr:rowOff>
    </xdr:from>
    <xdr:to>
      <xdr:col>4</xdr:col>
      <xdr:colOff>1482090</xdr:colOff>
      <xdr:row>23</xdr:row>
      <xdr:rowOff>13947</xdr:rowOff>
    </xdr:to>
    <xdr:pic>
      <xdr:nvPicPr>
        <xdr:cNvPr id="47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72813" y="362331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1299210</xdr:colOff>
      <xdr:row>28</xdr:row>
      <xdr:rowOff>158750</xdr:rowOff>
    </xdr:from>
    <xdr:to>
      <xdr:col>4</xdr:col>
      <xdr:colOff>1482067</xdr:colOff>
      <xdr:row>30</xdr:row>
      <xdr:rowOff>11407</xdr:rowOff>
    </xdr:to>
    <xdr:pic>
      <xdr:nvPicPr>
        <xdr:cNvPr id="48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72790" y="476885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1300480</xdr:colOff>
      <xdr:row>14</xdr:row>
      <xdr:rowOff>158750</xdr:rowOff>
    </xdr:from>
    <xdr:to>
      <xdr:col>4</xdr:col>
      <xdr:colOff>1483337</xdr:colOff>
      <xdr:row>16</xdr:row>
      <xdr:rowOff>11407</xdr:rowOff>
    </xdr:to>
    <xdr:pic>
      <xdr:nvPicPr>
        <xdr:cNvPr id="49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74060" y="247523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1297940</xdr:colOff>
      <xdr:row>22</xdr:row>
      <xdr:rowOff>154940</xdr:rowOff>
    </xdr:from>
    <xdr:to>
      <xdr:col>4</xdr:col>
      <xdr:colOff>1480797</xdr:colOff>
      <xdr:row>24</xdr:row>
      <xdr:rowOff>7597</xdr:rowOff>
    </xdr:to>
    <xdr:pic>
      <xdr:nvPicPr>
        <xdr:cNvPr id="5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71520" y="378206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24130</xdr:colOff>
      <xdr:row>30</xdr:row>
      <xdr:rowOff>161290</xdr:rowOff>
    </xdr:from>
    <xdr:to>
      <xdr:col>7</xdr:col>
      <xdr:colOff>206987</xdr:colOff>
      <xdr:row>32</xdr:row>
      <xdr:rowOff>15217</xdr:rowOff>
    </xdr:to>
    <xdr:pic>
      <xdr:nvPicPr>
        <xdr:cNvPr id="51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74160" y="509905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</xdr:colOff>
      <xdr:row>14</xdr:row>
      <xdr:rowOff>152400</xdr:rowOff>
    </xdr:from>
    <xdr:to>
      <xdr:col>7</xdr:col>
      <xdr:colOff>209527</xdr:colOff>
      <xdr:row>16</xdr:row>
      <xdr:rowOff>6327</xdr:rowOff>
    </xdr:to>
    <xdr:pic>
      <xdr:nvPicPr>
        <xdr:cNvPr id="52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76700" y="246888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23</xdr:row>
      <xdr:rowOff>156210</xdr:rowOff>
    </xdr:from>
    <xdr:to>
      <xdr:col>7</xdr:col>
      <xdr:colOff>201907</xdr:colOff>
      <xdr:row>25</xdr:row>
      <xdr:rowOff>10137</xdr:rowOff>
    </xdr:to>
    <xdr:pic>
      <xdr:nvPicPr>
        <xdr:cNvPr id="5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69080" y="394716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1300480</xdr:colOff>
      <xdr:row>31</xdr:row>
      <xdr:rowOff>158750</xdr:rowOff>
    </xdr:from>
    <xdr:to>
      <xdr:col>4</xdr:col>
      <xdr:colOff>1483337</xdr:colOff>
      <xdr:row>33</xdr:row>
      <xdr:rowOff>5057</xdr:rowOff>
    </xdr:to>
    <xdr:pic>
      <xdr:nvPicPr>
        <xdr:cNvPr id="54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74060" y="526034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1304290</xdr:colOff>
      <xdr:row>15</xdr:row>
      <xdr:rowOff>154940</xdr:rowOff>
    </xdr:from>
    <xdr:to>
      <xdr:col>4</xdr:col>
      <xdr:colOff>1487147</xdr:colOff>
      <xdr:row>17</xdr:row>
      <xdr:rowOff>7597</xdr:rowOff>
    </xdr:to>
    <xdr:pic>
      <xdr:nvPicPr>
        <xdr:cNvPr id="55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77870" y="263525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</xdr:colOff>
      <xdr:row>22</xdr:row>
      <xdr:rowOff>160020</xdr:rowOff>
    </xdr:from>
    <xdr:to>
      <xdr:col>7</xdr:col>
      <xdr:colOff>205717</xdr:colOff>
      <xdr:row>24</xdr:row>
      <xdr:rowOff>13947</xdr:rowOff>
    </xdr:to>
    <xdr:pic>
      <xdr:nvPicPr>
        <xdr:cNvPr id="56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72890" y="378714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32</xdr:row>
      <xdr:rowOff>0</xdr:rowOff>
    </xdr:from>
    <xdr:to>
      <xdr:col>7</xdr:col>
      <xdr:colOff>201907</xdr:colOff>
      <xdr:row>33</xdr:row>
      <xdr:rowOff>11407</xdr:rowOff>
    </xdr:to>
    <xdr:pic>
      <xdr:nvPicPr>
        <xdr:cNvPr id="57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69080" y="5265420"/>
          <a:ext cx="182857" cy="18285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</xdr:colOff>
      <xdr:row>15</xdr:row>
      <xdr:rowOff>160020</xdr:rowOff>
    </xdr:from>
    <xdr:to>
      <xdr:col>7</xdr:col>
      <xdr:colOff>209527</xdr:colOff>
      <xdr:row>17</xdr:row>
      <xdr:rowOff>13947</xdr:rowOff>
    </xdr:to>
    <xdr:pic>
      <xdr:nvPicPr>
        <xdr:cNvPr id="58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76700" y="2640330"/>
          <a:ext cx="182857" cy="1815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1296670</xdr:colOff>
      <xdr:row>23</xdr:row>
      <xdr:rowOff>152400</xdr:rowOff>
    </xdr:from>
    <xdr:to>
      <xdr:col>4</xdr:col>
      <xdr:colOff>1479527</xdr:colOff>
      <xdr:row>25</xdr:row>
      <xdr:rowOff>5057</xdr:rowOff>
    </xdr:to>
    <xdr:pic>
      <xdr:nvPicPr>
        <xdr:cNvPr id="59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270250" y="3943350"/>
          <a:ext cx="182857" cy="1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1291590</xdr:colOff>
      <xdr:row>30</xdr:row>
      <xdr:rowOff>152400</xdr:rowOff>
    </xdr:from>
    <xdr:to>
      <xdr:col>4</xdr:col>
      <xdr:colOff>1474447</xdr:colOff>
      <xdr:row>32</xdr:row>
      <xdr:rowOff>5057</xdr:rowOff>
    </xdr:to>
    <xdr:pic>
      <xdr:nvPicPr>
        <xdr:cNvPr id="60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265170" y="5090160"/>
          <a:ext cx="182857" cy="1803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nschedule.com/football-livescor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excely.com/football/2018-african-nations-championship-schedule.shtml" TargetMode="External"/><Relationship Id="rId1" Type="http://schemas.openxmlformats.org/officeDocument/2006/relationships/hyperlink" Target="http://www.excely.com/ice-hockey/world-cup-2009-schedule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excely.com/excel-vba/compare-tournament-predictions.shtml" TargetMode="External"/><Relationship Id="rId4" Type="http://schemas.openxmlformats.org/officeDocument/2006/relationships/hyperlink" Target="http://www.excely.com/excel-vba/sorting-teams-in-a-group-round-part1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sheetData>
    <row r="1" spans="1:1">
      <c r="A1" s="52" t="s">
        <v>20</v>
      </c>
    </row>
    <row r="2" spans="1:1">
      <c r="A2" s="52" t="s">
        <v>140</v>
      </c>
    </row>
    <row r="3" spans="1:1">
      <c r="A3" t="s">
        <v>6</v>
      </c>
    </row>
    <row r="4" spans="1:1">
      <c r="A4" t="s">
        <v>83</v>
      </c>
    </row>
    <row r="5" spans="1:1">
      <c r="A5" t="s">
        <v>17</v>
      </c>
    </row>
    <row r="6" spans="1:1">
      <c r="A6" t="s">
        <v>18</v>
      </c>
    </row>
    <row r="7" spans="1:1">
      <c r="A7" t="s">
        <v>23</v>
      </c>
    </row>
    <row r="8" spans="1:1">
      <c r="A8" t="s">
        <v>16</v>
      </c>
    </row>
    <row r="9" spans="1:1">
      <c r="A9" t="s">
        <v>21</v>
      </c>
    </row>
    <row r="10" spans="1:1">
      <c r="A10" t="s">
        <v>79</v>
      </c>
    </row>
    <row r="11" spans="1:1">
      <c r="A11" t="s">
        <v>7</v>
      </c>
    </row>
    <row r="12" spans="1:1">
      <c r="A12" t="s">
        <v>80</v>
      </c>
    </row>
    <row r="13" spans="1:1">
      <c r="A13" t="s">
        <v>9</v>
      </c>
    </row>
    <row r="14" spans="1:1">
      <c r="A14" t="s">
        <v>19</v>
      </c>
    </row>
    <row r="15" spans="1:1">
      <c r="A15" t="s">
        <v>78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26</v>
      </c>
    </row>
    <row r="26" spans="1:1">
      <c r="A26" t="s">
        <v>27</v>
      </c>
    </row>
    <row r="27" spans="1:1">
      <c r="A27" t="s">
        <v>75</v>
      </c>
    </row>
    <row r="28" spans="1:1">
      <c r="A28" t="s">
        <v>28</v>
      </c>
    </row>
    <row r="29" spans="1:1">
      <c r="A29" t="s">
        <v>76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77</v>
      </c>
    </row>
    <row r="37" spans="1:1">
      <c r="A37" t="s">
        <v>12</v>
      </c>
    </row>
    <row r="38" spans="1:1">
      <c r="A38" s="92" t="s">
        <v>111</v>
      </c>
    </row>
    <row r="39" spans="1:1">
      <c r="A39" s="92" t="s">
        <v>112</v>
      </c>
    </row>
    <row r="40" spans="1:1">
      <c r="A40" s="93" t="s">
        <v>113</v>
      </c>
    </row>
    <row r="41" spans="1:1">
      <c r="A41" s="93" t="s">
        <v>114</v>
      </c>
    </row>
    <row r="42" spans="1:1">
      <c r="A42" s="93" t="s">
        <v>115</v>
      </c>
    </row>
    <row r="43" spans="1:1">
      <c r="A43" s="92" t="s">
        <v>116</v>
      </c>
    </row>
    <row r="44" spans="1:1">
      <c r="A44" s="93" t="s">
        <v>117</v>
      </c>
    </row>
    <row r="45" spans="1:1">
      <c r="A45" s="92" t="s">
        <v>118</v>
      </c>
    </row>
    <row r="46" spans="1:1">
      <c r="A46" s="92" t="s">
        <v>119</v>
      </c>
    </row>
    <row r="47" spans="1:1">
      <c r="A47" s="93" t="s">
        <v>120</v>
      </c>
    </row>
    <row r="48" spans="1:1">
      <c r="A48" s="93" t="s">
        <v>121</v>
      </c>
    </row>
    <row r="49" spans="1:1">
      <c r="A49" s="93" t="s">
        <v>122</v>
      </c>
    </row>
    <row r="50" spans="1:1">
      <c r="A50" s="92" t="s">
        <v>123</v>
      </c>
    </row>
    <row r="51" spans="1:1">
      <c r="A51" s="92" t="s">
        <v>124</v>
      </c>
    </row>
    <row r="52" spans="1:1">
      <c r="A52" s="93" t="s">
        <v>125</v>
      </c>
    </row>
    <row r="53" spans="1:1">
      <c r="A53" s="93" t="s">
        <v>126</v>
      </c>
    </row>
    <row r="54" spans="1:1">
      <c r="A54" s="92"/>
    </row>
    <row r="55" spans="1:1">
      <c r="A55" s="93"/>
    </row>
    <row r="56" spans="1:1">
      <c r="A56" s="92"/>
    </row>
    <row r="57" spans="1:1">
      <c r="A57" s="93"/>
    </row>
    <row r="58" spans="1:1">
      <c r="A58" s="92"/>
    </row>
    <row r="59" spans="1:1">
      <c r="A59" s="92"/>
    </row>
    <row r="60" spans="1:1">
      <c r="A60" s="92"/>
    </row>
    <row r="61" spans="1:1">
      <c r="A61" s="92"/>
    </row>
    <row r="62" spans="1:1">
      <c r="A62" s="93"/>
    </row>
    <row r="63" spans="1:1">
      <c r="A63" s="92"/>
    </row>
    <row r="64" spans="1:1">
      <c r="A64" s="92"/>
    </row>
    <row r="65" spans="1:1">
      <c r="A65" s="93"/>
    </row>
    <row r="66" spans="1:1">
      <c r="A66" s="93"/>
    </row>
    <row r="67" spans="1:1">
      <c r="A67" s="93"/>
    </row>
    <row r="68" spans="1:1">
      <c r="A68" s="92"/>
    </row>
    <row r="69" spans="1:1">
      <c r="A69" s="93"/>
    </row>
    <row r="70" spans="1:1">
      <c r="A70" t="s">
        <v>91</v>
      </c>
    </row>
    <row r="71" spans="1:1">
      <c r="A71" t="s">
        <v>92</v>
      </c>
    </row>
    <row r="72" spans="1:1">
      <c r="A72" t="s">
        <v>93</v>
      </c>
    </row>
    <row r="73" spans="1:1">
      <c r="A73" t="s">
        <v>94</v>
      </c>
    </row>
    <row r="74" spans="1:1">
      <c r="A74" t="s">
        <v>95</v>
      </c>
    </row>
    <row r="75" spans="1:1">
      <c r="A75" t="s">
        <v>96</v>
      </c>
    </row>
    <row r="76" spans="1:1">
      <c r="A76" t="s">
        <v>97</v>
      </c>
    </row>
    <row r="77" spans="1:1">
      <c r="A77" t="s">
        <v>98</v>
      </c>
    </row>
    <row r="78" spans="1:1">
      <c r="A78" t="s">
        <v>99</v>
      </c>
    </row>
    <row r="79" spans="1:1">
      <c r="A79" t="s">
        <v>100</v>
      </c>
    </row>
    <row r="80" spans="1:1">
      <c r="A80" t="s">
        <v>101</v>
      </c>
    </row>
    <row r="81" spans="1:1">
      <c r="A81" t="s">
        <v>102</v>
      </c>
    </row>
    <row r="82" spans="1:1">
      <c r="A82" t="s">
        <v>103</v>
      </c>
    </row>
    <row r="83" spans="1:1">
      <c r="A83" t="s">
        <v>104</v>
      </c>
    </row>
    <row r="84" spans="1:1">
      <c r="A84" t="s">
        <v>105</v>
      </c>
    </row>
    <row r="85" spans="1:1">
      <c r="A85" t="s">
        <v>106</v>
      </c>
    </row>
    <row r="86" spans="1:1">
      <c r="A86" s="105" t="s">
        <v>132</v>
      </c>
    </row>
    <row r="87" spans="1:1">
      <c r="A87" s="105" t="s">
        <v>133</v>
      </c>
    </row>
    <row r="88" spans="1:1">
      <c r="A88" s="105" t="s">
        <v>134</v>
      </c>
    </row>
    <row r="89" spans="1:1">
      <c r="A89" s="105" t="s">
        <v>135</v>
      </c>
    </row>
    <row r="90" spans="1:1">
      <c r="A90" s="105" t="s">
        <v>136</v>
      </c>
    </row>
    <row r="91" spans="1:1">
      <c r="A91" s="105" t="s">
        <v>137</v>
      </c>
    </row>
    <row r="92" spans="1:1">
      <c r="A92" s="105" t="s">
        <v>138</v>
      </c>
    </row>
    <row r="93" spans="1:1">
      <c r="A93" s="105" t="s">
        <v>139</v>
      </c>
    </row>
    <row r="102" spans="1:1">
      <c r="A102" s="52" t="s">
        <v>143</v>
      </c>
    </row>
    <row r="103" spans="1:1">
      <c r="A103" s="52" t="s">
        <v>128</v>
      </c>
    </row>
    <row r="104" spans="1:1">
      <c r="A104" s="52" t="s">
        <v>129</v>
      </c>
    </row>
    <row r="105" spans="1:1">
      <c r="A105" s="52" t="s">
        <v>130</v>
      </c>
    </row>
    <row r="106" spans="1:1">
      <c r="A106" s="52" t="s">
        <v>131</v>
      </c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t="s">
        <v>108</v>
      </c>
    </row>
  </sheetData>
  <sortState ref="A103:A114">
    <sortCondition ref="A103:A114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P47"/>
  <sheetViews>
    <sheetView showGridLines="0" workbookViewId="0">
      <selection activeCell="C4" sqref="C4"/>
    </sheetView>
  </sheetViews>
  <sheetFormatPr defaultRowHeight="12.75"/>
  <cols>
    <col min="1" max="1" width="1.85546875" style="7" customWidth="1"/>
    <col min="2" max="2" width="21.85546875" style="7" customWidth="1"/>
    <col min="3" max="3" width="19.42578125" style="8" customWidth="1"/>
    <col min="4" max="4" width="2.5703125" style="7" customWidth="1"/>
    <col min="5" max="5" width="2.140625" style="7" customWidth="1"/>
    <col min="6" max="6" width="16.28515625" style="42" customWidth="1"/>
    <col min="7" max="7" width="28.5703125" style="42" customWidth="1"/>
    <col min="8" max="8" width="2.5703125" style="42" customWidth="1"/>
    <col min="9" max="16" width="9.140625" style="42"/>
    <col min="17" max="16384" width="9.140625" style="7"/>
  </cols>
  <sheetData>
    <row r="2" spans="2:8" ht="16.5" thickBot="1">
      <c r="B2" s="9" t="s">
        <v>65</v>
      </c>
      <c r="C2" s="10"/>
      <c r="D2" s="11"/>
      <c r="F2" s="9" t="s">
        <v>2</v>
      </c>
      <c r="G2" s="10"/>
      <c r="H2" s="11"/>
    </row>
    <row r="3" spans="2:8">
      <c r="B3" s="12"/>
      <c r="C3" s="13"/>
      <c r="D3" s="14"/>
      <c r="F3" s="12"/>
      <c r="G3" s="13"/>
      <c r="H3" s="14"/>
    </row>
    <row r="4" spans="2:8">
      <c r="B4" s="15" t="s">
        <v>25</v>
      </c>
      <c r="C4" s="61" t="s">
        <v>20</v>
      </c>
      <c r="D4" s="14"/>
      <c r="F4" s="12"/>
      <c r="G4" s="51"/>
      <c r="H4" s="14"/>
    </row>
    <row r="5" spans="2:8">
      <c r="B5" s="12"/>
      <c r="C5" s="13"/>
      <c r="D5" s="14"/>
      <c r="F5" s="44" t="s">
        <v>86</v>
      </c>
      <c r="G5" s="45" t="s">
        <v>84</v>
      </c>
      <c r="H5" s="14"/>
    </row>
    <row r="6" spans="2:8">
      <c r="B6" s="15" t="s">
        <v>35</v>
      </c>
      <c r="C6" s="21" t="s">
        <v>127</v>
      </c>
      <c r="D6" s="14"/>
      <c r="F6" s="44" t="s">
        <v>87</v>
      </c>
      <c r="G6" s="46" t="s">
        <v>5</v>
      </c>
      <c r="H6" s="14"/>
    </row>
    <row r="7" spans="2:8">
      <c r="B7" s="12"/>
      <c r="C7" s="13"/>
      <c r="D7" s="14"/>
      <c r="F7" s="44" t="s">
        <v>88</v>
      </c>
      <c r="G7" s="46" t="s">
        <v>3</v>
      </c>
      <c r="H7" s="14"/>
    </row>
    <row r="8" spans="2:8">
      <c r="B8" s="15" t="s">
        <v>36</v>
      </c>
      <c r="C8" s="53" t="s">
        <v>24</v>
      </c>
      <c r="D8" s="14"/>
      <c r="F8" s="44" t="s">
        <v>89</v>
      </c>
      <c r="G8" s="46" t="s">
        <v>4</v>
      </c>
      <c r="H8" s="14"/>
    </row>
    <row r="9" spans="2:8">
      <c r="B9" s="12"/>
      <c r="C9" s="13"/>
      <c r="D9" s="14"/>
      <c r="F9" s="44" t="s">
        <v>90</v>
      </c>
      <c r="G9" s="106" t="s">
        <v>141</v>
      </c>
      <c r="H9" s="14"/>
    </row>
    <row r="10" spans="2:8">
      <c r="B10" s="15" t="s">
        <v>38</v>
      </c>
      <c r="C10" s="16" t="s">
        <v>39</v>
      </c>
      <c r="D10" s="14"/>
      <c r="F10" s="12"/>
      <c r="G10" s="43"/>
      <c r="H10" s="14"/>
    </row>
    <row r="11" spans="2:8">
      <c r="B11" s="17"/>
      <c r="C11" s="18"/>
      <c r="D11" s="19"/>
      <c r="F11" s="17"/>
      <c r="G11" s="18"/>
      <c r="H11" s="19"/>
    </row>
    <row r="12" spans="2:8">
      <c r="B12" s="20"/>
      <c r="C12" s="20"/>
      <c r="D12" s="20"/>
      <c r="E12" s="20"/>
    </row>
    <row r="13" spans="2:8">
      <c r="B13" s="35"/>
      <c r="C13" s="36"/>
      <c r="D13" s="37"/>
      <c r="F13" s="47" t="s">
        <v>66</v>
      </c>
      <c r="G13" s="47">
        <f>IF(ISERROR(MATCH(C4,lang_list,0)),1,MATCH(C4,lang_list,0))</f>
        <v>1</v>
      </c>
      <c r="H13" s="48"/>
    </row>
    <row r="14" spans="2:8" ht="16.5" thickBot="1">
      <c r="B14" s="12"/>
      <c r="C14" s="39" t="s">
        <v>109</v>
      </c>
      <c r="D14" s="14"/>
      <c r="F14" s="47" t="s">
        <v>67</v>
      </c>
      <c r="G14" s="49">
        <f>TIME(VLOOKUP(C8,F16:G39,2,FALSE),VLOOKUP(C10,F41:G44,2,FALSE),0)+IF(C6="Yes",TIME(1,0,0),0)</f>
        <v>0.45833333333333331</v>
      </c>
      <c r="H14" s="48"/>
    </row>
    <row r="15" spans="2:8">
      <c r="B15" s="38" t="str">
        <f>INDEX(T,47,lang)</f>
        <v>Morocco</v>
      </c>
      <c r="C15" s="86">
        <v>738</v>
      </c>
      <c r="D15" s="14"/>
      <c r="F15" s="47"/>
      <c r="G15" s="47"/>
      <c r="H15" s="48"/>
    </row>
    <row r="16" spans="2:8">
      <c r="B16" s="38" t="str">
        <f>INDEX(T,39,lang)</f>
        <v>Burkina Faso</v>
      </c>
      <c r="C16" s="87">
        <v>705</v>
      </c>
      <c r="D16" s="14"/>
      <c r="F16" s="47" t="s">
        <v>40</v>
      </c>
      <c r="G16" s="47">
        <v>0</v>
      </c>
      <c r="H16" s="48"/>
    </row>
    <row r="17" spans="2:8">
      <c r="B17" s="38" t="str">
        <f>INDEX(T,40,lang)</f>
        <v>Cameroon</v>
      </c>
      <c r="C17" s="87">
        <v>696</v>
      </c>
      <c r="D17" s="14"/>
      <c r="F17" s="47" t="s">
        <v>41</v>
      </c>
      <c r="G17" s="47">
        <v>1</v>
      </c>
      <c r="H17" s="48"/>
    </row>
    <row r="18" spans="2:8">
      <c r="B18" s="38" t="str">
        <f>INDEX(T,49,lang)</f>
        <v>Nigeria</v>
      </c>
      <c r="C18" s="87">
        <v>671</v>
      </c>
      <c r="D18" s="14"/>
      <c r="F18" s="47" t="s">
        <v>42</v>
      </c>
      <c r="G18" s="47">
        <v>2</v>
      </c>
      <c r="H18" s="48"/>
    </row>
    <row r="19" spans="2:8">
      <c r="B19" s="38" t="str">
        <f>INDEX(T,44,lang)</f>
        <v>Ivory Coast</v>
      </c>
      <c r="C19" s="87">
        <v>557</v>
      </c>
      <c r="D19" s="14"/>
      <c r="F19" s="47" t="s">
        <v>43</v>
      </c>
      <c r="G19" s="47">
        <v>3</v>
      </c>
      <c r="H19" s="48"/>
    </row>
    <row r="20" spans="2:8">
      <c r="B20" s="38" t="str">
        <f>INDEX(T,43,lang)</f>
        <v>Guinea</v>
      </c>
      <c r="C20" s="87">
        <v>532</v>
      </c>
      <c r="D20" s="14"/>
      <c r="F20" s="47" t="s">
        <v>44</v>
      </c>
      <c r="G20" s="47">
        <v>4</v>
      </c>
      <c r="H20" s="48"/>
    </row>
    <row r="21" spans="2:8">
      <c r="B21" s="38" t="str">
        <f>INDEX(T,52,lang)</f>
        <v>Uganda</v>
      </c>
      <c r="C21" s="87">
        <v>471</v>
      </c>
      <c r="D21" s="14"/>
      <c r="F21" s="47" t="s">
        <v>45</v>
      </c>
      <c r="G21" s="47">
        <v>5</v>
      </c>
      <c r="H21" s="48"/>
    </row>
    <row r="22" spans="2:8">
      <c r="B22" s="38" t="str">
        <f>INDEX(T,53,lang)</f>
        <v>Zambia</v>
      </c>
      <c r="C22" s="87">
        <v>449</v>
      </c>
      <c r="D22" s="14"/>
      <c r="F22" s="47" t="s">
        <v>46</v>
      </c>
      <c r="G22" s="47">
        <v>6</v>
      </c>
      <c r="H22" s="48"/>
    </row>
    <row r="23" spans="2:8">
      <c r="B23" s="38" t="str">
        <f>INDEX(T,45,lang)</f>
        <v>Libya</v>
      </c>
      <c r="C23" s="87">
        <v>442</v>
      </c>
      <c r="D23" s="14"/>
      <c r="F23" s="47" t="s">
        <v>47</v>
      </c>
      <c r="G23" s="47">
        <v>7</v>
      </c>
      <c r="H23" s="48"/>
    </row>
    <row r="24" spans="2:8">
      <c r="B24" s="38" t="str">
        <f>INDEX(T,41,lang)</f>
        <v>Congo</v>
      </c>
      <c r="C24" s="87">
        <v>362</v>
      </c>
      <c r="D24" s="14"/>
      <c r="F24" s="47" t="s">
        <v>48</v>
      </c>
      <c r="G24" s="47">
        <v>8</v>
      </c>
      <c r="H24" s="48"/>
    </row>
    <row r="25" spans="2:8">
      <c r="B25" s="38" t="str">
        <f>INDEX(T,46,lang)</f>
        <v>Mauritania</v>
      </c>
      <c r="C25" s="87">
        <v>354</v>
      </c>
      <c r="D25" s="14"/>
      <c r="F25" s="47" t="s">
        <v>49</v>
      </c>
      <c r="G25" s="47">
        <v>9</v>
      </c>
      <c r="H25" s="48"/>
    </row>
    <row r="26" spans="2:8">
      <c r="B26" s="38" t="str">
        <f>INDEX(T,48,lang)</f>
        <v>Namibia</v>
      </c>
      <c r="C26" s="87">
        <v>274</v>
      </c>
      <c r="D26" s="14"/>
      <c r="F26" s="47" t="s">
        <v>50</v>
      </c>
      <c r="G26" s="47">
        <v>10</v>
      </c>
      <c r="H26" s="48"/>
    </row>
    <row r="27" spans="2:8">
      <c r="B27" s="38" t="str">
        <f>INDEX(T,50,lang)</f>
        <v>Rwanda</v>
      </c>
      <c r="C27" s="87">
        <v>269</v>
      </c>
      <c r="D27" s="14"/>
      <c r="F27" s="47" t="s">
        <v>24</v>
      </c>
      <c r="G27" s="47">
        <v>11</v>
      </c>
      <c r="H27" s="48"/>
    </row>
    <row r="28" spans="2:8">
      <c r="B28" s="38" t="str">
        <f>INDEX(T,51,lang)</f>
        <v>Sudan</v>
      </c>
      <c r="C28" s="87">
        <v>219</v>
      </c>
      <c r="D28" s="14"/>
      <c r="F28" s="47" t="s">
        <v>37</v>
      </c>
      <c r="G28" s="47">
        <v>12</v>
      </c>
      <c r="H28" s="48"/>
    </row>
    <row r="29" spans="2:8">
      <c r="B29" s="38" t="str">
        <f>INDEX(T,38,lang)</f>
        <v>Angola</v>
      </c>
      <c r="C29" s="87">
        <v>201</v>
      </c>
      <c r="D29" s="14"/>
      <c r="F29" s="47" t="s">
        <v>51</v>
      </c>
      <c r="G29" s="47">
        <v>13</v>
      </c>
      <c r="H29" s="48"/>
    </row>
    <row r="30" spans="2:8">
      <c r="B30" s="38" t="str">
        <f>INDEX(T,42,lang)</f>
        <v>Equatorial Guinea</v>
      </c>
      <c r="C30" s="88">
        <v>187</v>
      </c>
      <c r="D30" s="14"/>
      <c r="F30" s="47" t="s">
        <v>52</v>
      </c>
      <c r="G30" s="47">
        <v>14</v>
      </c>
      <c r="H30" s="48"/>
    </row>
    <row r="31" spans="2:8" hidden="1">
      <c r="B31" s="38">
        <f t="shared" ref="B31:B38" si="0">INDEX(T,54,lang)</f>
        <v>0</v>
      </c>
      <c r="C31" s="87"/>
      <c r="D31" s="14"/>
      <c r="F31" s="47" t="s">
        <v>53</v>
      </c>
      <c r="G31" s="47">
        <v>15</v>
      </c>
      <c r="H31" s="48"/>
    </row>
    <row r="32" spans="2:8" hidden="1">
      <c r="B32" s="38">
        <f t="shared" si="0"/>
        <v>0</v>
      </c>
      <c r="C32" s="87"/>
      <c r="D32" s="14"/>
      <c r="F32" s="47" t="s">
        <v>54</v>
      </c>
      <c r="G32" s="47">
        <v>16</v>
      </c>
      <c r="H32" s="48"/>
    </row>
    <row r="33" spans="2:8" hidden="1">
      <c r="B33" s="38">
        <f t="shared" si="0"/>
        <v>0</v>
      </c>
      <c r="C33" s="87"/>
      <c r="D33" s="14"/>
      <c r="F33" s="47" t="s">
        <v>55</v>
      </c>
      <c r="G33" s="47">
        <v>17</v>
      </c>
      <c r="H33" s="48"/>
    </row>
    <row r="34" spans="2:8" hidden="1">
      <c r="B34" s="38">
        <f t="shared" si="0"/>
        <v>0</v>
      </c>
      <c r="C34" s="87"/>
      <c r="D34" s="14"/>
      <c r="F34" s="47" t="s">
        <v>56</v>
      </c>
      <c r="G34" s="47">
        <v>18</v>
      </c>
      <c r="H34" s="48"/>
    </row>
    <row r="35" spans="2:8" hidden="1">
      <c r="B35" s="38">
        <f t="shared" si="0"/>
        <v>0</v>
      </c>
      <c r="C35" s="87"/>
      <c r="D35" s="14"/>
      <c r="F35" s="47" t="s">
        <v>57</v>
      </c>
      <c r="G35" s="47">
        <v>19</v>
      </c>
      <c r="H35" s="48"/>
    </row>
    <row r="36" spans="2:8" hidden="1">
      <c r="B36" s="38">
        <f t="shared" si="0"/>
        <v>0</v>
      </c>
      <c r="C36" s="87"/>
      <c r="D36" s="14"/>
      <c r="F36" s="47" t="s">
        <v>58</v>
      </c>
      <c r="G36" s="47">
        <v>20</v>
      </c>
      <c r="H36" s="48"/>
    </row>
    <row r="37" spans="2:8" hidden="1">
      <c r="B37" s="38">
        <f t="shared" si="0"/>
        <v>0</v>
      </c>
      <c r="C37" s="87"/>
      <c r="D37" s="14"/>
      <c r="F37" s="47" t="s">
        <v>59</v>
      </c>
      <c r="G37" s="47">
        <v>21</v>
      </c>
      <c r="H37" s="48"/>
    </row>
    <row r="38" spans="2:8" hidden="1">
      <c r="B38" s="38">
        <f t="shared" si="0"/>
        <v>0</v>
      </c>
      <c r="C38" s="88"/>
      <c r="D38" s="14"/>
      <c r="F38" s="47" t="s">
        <v>60</v>
      </c>
      <c r="G38" s="47">
        <v>22</v>
      </c>
      <c r="H38" s="48"/>
    </row>
    <row r="39" spans="2:8" hidden="1">
      <c r="B39" s="38"/>
      <c r="C39" s="40"/>
      <c r="D39" s="14"/>
      <c r="F39" s="47" t="s">
        <v>61</v>
      </c>
      <c r="G39" s="47">
        <v>23</v>
      </c>
      <c r="H39" s="48"/>
    </row>
    <row r="40" spans="2:8" hidden="1">
      <c r="B40" s="38"/>
      <c r="C40" s="40"/>
      <c r="D40" s="14"/>
      <c r="F40" s="47"/>
      <c r="G40" s="47"/>
      <c r="H40" s="48"/>
    </row>
    <row r="41" spans="2:8" hidden="1">
      <c r="B41" s="38"/>
      <c r="C41" s="40"/>
      <c r="D41" s="14"/>
      <c r="F41" s="50" t="s">
        <v>39</v>
      </c>
      <c r="G41" s="47">
        <v>0</v>
      </c>
      <c r="H41" s="48"/>
    </row>
    <row r="42" spans="2:8" hidden="1">
      <c r="B42" s="38"/>
      <c r="C42" s="40"/>
      <c r="D42" s="14"/>
      <c r="F42" s="50" t="s">
        <v>62</v>
      </c>
      <c r="G42" s="47">
        <v>15</v>
      </c>
      <c r="H42" s="48"/>
    </row>
    <row r="43" spans="2:8" hidden="1">
      <c r="B43" s="38"/>
      <c r="C43" s="40"/>
      <c r="D43" s="14"/>
      <c r="F43" s="50" t="s">
        <v>63</v>
      </c>
      <c r="G43" s="47">
        <v>30</v>
      </c>
      <c r="H43" s="48"/>
    </row>
    <row r="44" spans="2:8" hidden="1">
      <c r="B44" s="38"/>
      <c r="C44" s="40"/>
      <c r="D44" s="14"/>
      <c r="F44" s="50" t="s">
        <v>64</v>
      </c>
      <c r="G44" s="47">
        <v>45</v>
      </c>
      <c r="H44" s="48"/>
    </row>
    <row r="45" spans="2:8" hidden="1">
      <c r="B45" s="38"/>
      <c r="C45" s="40"/>
      <c r="D45" s="14"/>
      <c r="F45" s="50"/>
      <c r="G45" s="47"/>
      <c r="H45" s="48"/>
    </row>
    <row r="46" spans="2:8" hidden="1">
      <c r="B46" s="38"/>
      <c r="C46" s="41"/>
      <c r="D46" s="14"/>
      <c r="F46" s="48" t="s">
        <v>85</v>
      </c>
      <c r="G46" s="49">
        <f>IF(G4="Type 2",0,1)</f>
        <v>1</v>
      </c>
      <c r="H46" s="48"/>
    </row>
    <row r="47" spans="2:8">
      <c r="B47" s="17"/>
      <c r="C47" s="18"/>
      <c r="D47" s="19"/>
      <c r="F47" s="48"/>
      <c r="G47" s="48"/>
      <c r="H47" s="48"/>
    </row>
  </sheetData>
  <sheetProtection password="81D4" sheet="1" objects="1" scenarios="1"/>
  <phoneticPr fontId="2" type="noConversion"/>
  <dataValidations count="4">
    <dataValidation type="list" allowBlank="1" showInputMessage="1" showErrorMessage="1" sqref="C6">
      <formula1>"Yes,No"</formula1>
    </dataValidation>
    <dataValidation type="list" allowBlank="1" showInputMessage="1" showErrorMessage="1" sqref="C4">
      <formula1>"English"</formula1>
    </dataValidation>
    <dataValidation type="list" allowBlank="1" showInputMessage="1" showErrorMessage="1" promptTitle="Select GTM-time" prompt="Use drop-down List" sqref="C8">
      <formula1>$F$16:$F$39</formula1>
    </dataValidation>
    <dataValidation type="list" allowBlank="1" showInputMessage="1" showErrorMessage="1" promptTitle="Select Minutes" prompt="Use drop-down List" sqref="C10">
      <formula1>$F$41:$F$44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DS97"/>
  <sheetViews>
    <sheetView showGridLines="0" tabSelected="1" zoomScaleNormal="100" workbookViewId="0">
      <selection activeCell="F10" sqref="F10"/>
    </sheetView>
  </sheetViews>
  <sheetFormatPr defaultRowHeight="12.75"/>
  <cols>
    <col min="1" max="1" width="4.85546875" style="1" customWidth="1"/>
    <col min="2" max="2" width="5.7109375" style="1" customWidth="1"/>
    <col min="3" max="3" width="11.7109375" style="1" bestFit="1" customWidth="1"/>
    <col min="4" max="4" width="7.28515625" style="3" customWidth="1"/>
    <col min="5" max="5" width="22.5703125" style="4" customWidth="1"/>
    <col min="6" max="7" width="4.28515625" style="5" customWidth="1"/>
    <col min="8" max="8" width="22.5703125" style="6" customWidth="1"/>
    <col min="9" max="9" width="15.85546875" style="4" customWidth="1"/>
    <col min="10" max="11" width="3.85546875" style="4" customWidth="1"/>
    <col min="12" max="12" width="3.42578125" style="2" customWidth="1"/>
    <col min="13" max="13" width="14" style="25" customWidth="1"/>
    <col min="14" max="17" width="5.42578125" style="26" customWidth="1"/>
    <col min="18" max="18" width="7.7109375" style="26" customWidth="1"/>
    <col min="19" max="19" width="6.7109375" style="26" customWidth="1"/>
    <col min="20" max="20" width="3.42578125" style="89" customWidth="1"/>
    <col min="21" max="21" width="15.42578125" style="107" hidden="1" customWidth="1"/>
    <col min="22" max="23" width="16" style="112" hidden="1" customWidth="1"/>
    <col min="24" max="24" width="5" style="108" hidden="1" customWidth="1"/>
    <col min="25" max="30" width="6.140625" style="107" hidden="1" customWidth="1"/>
    <col min="31" max="33" width="4.42578125" style="107" hidden="1" customWidth="1"/>
    <col min="34" max="34" width="6.140625" style="107" hidden="1" customWidth="1"/>
    <col min="35" max="37" width="4.42578125" style="107" hidden="1" customWidth="1"/>
    <col min="38" max="38" width="4.28515625" style="108" hidden="1" customWidth="1"/>
    <col min="39" max="39" width="5.42578125" style="107" hidden="1" customWidth="1"/>
    <col min="40" max="40" width="13.42578125" style="108" hidden="1" customWidth="1"/>
    <col min="41" max="45" width="5.42578125" style="107" hidden="1" customWidth="1"/>
    <col min="46" max="48" width="6" style="107" hidden="1" customWidth="1"/>
    <col min="49" max="49" width="5.42578125" style="107" hidden="1" customWidth="1"/>
    <col min="50" max="52" width="6" style="107" hidden="1" customWidth="1"/>
    <col min="53" max="53" width="7.140625" style="108" hidden="1" customWidth="1"/>
    <col min="54" max="54" width="10" style="108" hidden="1" customWidth="1"/>
    <col min="55" max="55" width="15.28515625" style="108" hidden="1" customWidth="1"/>
    <col min="56" max="56" width="4.7109375" style="107" hidden="1" customWidth="1"/>
    <col min="57" max="60" width="4.7109375" style="109" hidden="1" customWidth="1"/>
    <col min="61" max="61" width="15.28515625" style="108" hidden="1" customWidth="1"/>
    <col min="62" max="63" width="5" style="108" hidden="1" customWidth="1"/>
    <col min="64" max="64" width="2" style="110" hidden="1" customWidth="1"/>
    <col min="65" max="68" width="3.5703125" style="109" hidden="1" customWidth="1"/>
    <col min="69" max="69" width="2.28515625" style="110" hidden="1" customWidth="1"/>
    <col min="70" max="73" width="3.5703125" style="109" hidden="1" customWidth="1"/>
    <col min="74" max="75" width="3.28515625" style="110" hidden="1" customWidth="1"/>
    <col min="76" max="79" width="3.5703125" style="109" hidden="1" customWidth="1"/>
    <col min="80" max="80" width="2.28515625" style="110" hidden="1" customWidth="1"/>
    <col min="81" max="84" width="3.5703125" style="109" hidden="1" customWidth="1"/>
    <col min="85" max="85" width="2.28515625" style="110" hidden="1" customWidth="1"/>
    <col min="86" max="89" width="3.5703125" style="109" hidden="1" customWidth="1"/>
    <col min="90" max="91" width="2.28515625" style="110" hidden="1" customWidth="1"/>
    <col min="92" max="95" width="3.5703125" style="109" hidden="1" customWidth="1"/>
    <col min="96" max="96" width="2.28515625" style="110" hidden="1" customWidth="1"/>
    <col min="97" max="97" width="8" style="110" hidden="1" customWidth="1"/>
    <col min="98" max="98" width="2" style="110" hidden="1" customWidth="1"/>
    <col min="99" max="102" width="3.5703125" style="109" hidden="1" customWidth="1"/>
    <col min="103" max="103" width="2.7109375" style="110" hidden="1" customWidth="1"/>
    <col min="104" max="104" width="8" style="110" hidden="1" customWidth="1"/>
    <col min="105" max="105" width="3" style="110" hidden="1" customWidth="1"/>
    <col min="106" max="106" width="9.140625" style="110" hidden="1" customWidth="1"/>
    <col min="107" max="107" width="9.140625" style="111" hidden="1" customWidth="1"/>
    <col min="108" max="108" width="3.28515625" style="2" customWidth="1"/>
    <col min="109" max="109" width="19.7109375" style="2" customWidth="1"/>
    <col min="110" max="111" width="3" style="2" customWidth="1"/>
    <col min="112" max="113" width="2" style="2" customWidth="1"/>
    <col min="114" max="114" width="3.28515625" style="2" customWidth="1"/>
    <col min="115" max="115" width="19.7109375" style="2" customWidth="1"/>
    <col min="116" max="117" width="3" style="2" customWidth="1"/>
    <col min="118" max="119" width="2" style="2" customWidth="1"/>
    <col min="120" max="120" width="3.28515625" style="2" customWidth="1"/>
    <col min="121" max="121" width="19.7109375" style="2" customWidth="1"/>
    <col min="122" max="123" width="3" style="2" customWidth="1"/>
    <col min="124" max="16384" width="9.140625" style="2"/>
  </cols>
  <sheetData>
    <row r="1" spans="1:123" ht="46.5">
      <c r="A1" s="142" t="str">
        <f>INDEX(T,2,lang)</f>
        <v>2018 African Nations Championship Tournament Schedule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23" ht="6" hidden="1" customHeight="1"/>
    <row r="3" spans="1:123" ht="6" hidden="1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23" ht="6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3" ht="12.75" customHeight="1">
      <c r="A5" s="63"/>
      <c r="B5" s="63"/>
      <c r="C5" s="143" t="s">
        <v>107</v>
      </c>
      <c r="D5" s="144"/>
      <c r="E5" s="144"/>
      <c r="F5" s="144"/>
      <c r="G5" s="144"/>
      <c r="H5" s="144"/>
      <c r="I5" s="145"/>
      <c r="J5" s="63"/>
      <c r="K5" s="63"/>
    </row>
    <row r="6" spans="1:123" ht="12.75" customHeight="1">
      <c r="A6" s="63"/>
      <c r="B6" s="63"/>
      <c r="C6" s="146"/>
      <c r="D6" s="147"/>
      <c r="E6" s="147"/>
      <c r="F6" s="147"/>
      <c r="G6" s="147"/>
      <c r="H6" s="147"/>
      <c r="I6" s="148"/>
      <c r="J6" s="63"/>
      <c r="K6" s="63"/>
      <c r="R6" s="149"/>
      <c r="S6" s="149"/>
      <c r="V6" s="107"/>
      <c r="W6" s="107"/>
      <c r="X6" s="107"/>
      <c r="AL6" s="107"/>
      <c r="AN6" s="107"/>
      <c r="AP6" s="108"/>
      <c r="AQ6" s="108"/>
      <c r="AR6" s="108"/>
      <c r="AT6" s="109"/>
      <c r="AU6" s="109"/>
      <c r="AV6" s="109"/>
      <c r="AW6" s="109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M6" s="110"/>
      <c r="BN6" s="110"/>
      <c r="BO6" s="110"/>
      <c r="BP6" s="110"/>
      <c r="BR6" s="110"/>
      <c r="BS6" s="110"/>
      <c r="BT6" s="110"/>
      <c r="BU6" s="110"/>
      <c r="BX6" s="110"/>
      <c r="BY6" s="110"/>
      <c r="BZ6" s="110"/>
      <c r="CA6" s="110"/>
      <c r="CC6" s="110"/>
      <c r="CD6" s="110"/>
      <c r="CE6" s="110"/>
      <c r="CF6" s="110"/>
      <c r="CH6" s="110"/>
      <c r="CI6" s="110"/>
      <c r="CJ6" s="110"/>
      <c r="CK6" s="110"/>
      <c r="CN6" s="110"/>
      <c r="CO6" s="110"/>
      <c r="CP6" s="110"/>
      <c r="CQ6" s="110"/>
      <c r="CU6" s="110"/>
      <c r="CV6" s="110"/>
      <c r="CW6" s="110"/>
      <c r="CX6" s="110"/>
    </row>
    <row r="7" spans="1:123" ht="12.75" customHeight="1">
      <c r="V7" s="107"/>
      <c r="W7" s="107"/>
      <c r="X7" s="107"/>
      <c r="AL7" s="107"/>
      <c r="AN7" s="107"/>
      <c r="AP7" s="108"/>
      <c r="AQ7" s="108"/>
      <c r="AR7" s="108"/>
      <c r="AT7" s="109"/>
      <c r="AU7" s="109"/>
      <c r="AV7" s="109"/>
      <c r="AW7" s="109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M7" s="110"/>
      <c r="BN7" s="110"/>
      <c r="BO7" s="110"/>
      <c r="BP7" s="110"/>
      <c r="BR7" s="110"/>
      <c r="BS7" s="110"/>
      <c r="BT7" s="110"/>
      <c r="BU7" s="110"/>
      <c r="BX7" s="110"/>
      <c r="BY7" s="110"/>
      <c r="BZ7" s="110"/>
      <c r="CA7" s="110"/>
      <c r="CC7" s="110"/>
      <c r="CD7" s="110"/>
      <c r="CE7" s="110"/>
      <c r="CF7" s="110"/>
      <c r="CH7" s="110"/>
      <c r="CI7" s="110"/>
      <c r="CJ7" s="110"/>
      <c r="CK7" s="110"/>
      <c r="CN7" s="110"/>
      <c r="CO7" s="110"/>
      <c r="CP7" s="110"/>
      <c r="CQ7" s="110"/>
      <c r="CU7" s="110"/>
      <c r="CV7" s="110"/>
      <c r="CW7" s="110"/>
      <c r="CX7" s="110"/>
    </row>
    <row r="8" spans="1:123" ht="12.75" customHeight="1">
      <c r="A8" s="150" t="str">
        <f>INDEX(T,3,lang)</f>
        <v>Group Stage</v>
      </c>
      <c r="B8" s="151"/>
      <c r="C8" s="151"/>
      <c r="D8" s="151"/>
      <c r="E8" s="151"/>
      <c r="F8" s="151"/>
      <c r="G8" s="151"/>
      <c r="H8" s="151"/>
      <c r="I8" s="151"/>
      <c r="J8" s="151"/>
      <c r="K8" s="152"/>
      <c r="M8" s="136" t="s">
        <v>142</v>
      </c>
      <c r="N8" s="137"/>
      <c r="O8" s="137"/>
      <c r="P8" s="137"/>
      <c r="Q8" s="137"/>
      <c r="R8" s="137"/>
      <c r="S8" s="138"/>
      <c r="V8" s="107"/>
      <c r="W8" s="107"/>
      <c r="X8" s="107"/>
      <c r="AL8" s="107"/>
      <c r="AN8" s="107"/>
      <c r="AP8" s="108"/>
      <c r="AQ8" s="108"/>
      <c r="AR8" s="108"/>
      <c r="AT8" s="109"/>
      <c r="AU8" s="109"/>
      <c r="AV8" s="109"/>
      <c r="AW8" s="109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M8" s="110"/>
      <c r="BN8" s="110"/>
      <c r="BO8" s="110"/>
      <c r="BP8" s="110"/>
      <c r="BR8" s="110"/>
      <c r="BS8" s="110"/>
      <c r="BT8" s="110"/>
      <c r="BU8" s="110"/>
      <c r="BX8" s="110"/>
      <c r="BY8" s="110"/>
      <c r="BZ8" s="110"/>
      <c r="CA8" s="110"/>
      <c r="CC8" s="110"/>
      <c r="CD8" s="110"/>
      <c r="CE8" s="110"/>
      <c r="CF8" s="110"/>
      <c r="CH8" s="110"/>
      <c r="CI8" s="110"/>
      <c r="CJ8" s="110"/>
      <c r="CK8" s="110"/>
      <c r="CN8" s="110"/>
      <c r="CO8" s="110"/>
      <c r="CP8" s="110"/>
      <c r="CQ8" s="110"/>
      <c r="CU8" s="110"/>
      <c r="CV8" s="110"/>
      <c r="CW8" s="110"/>
      <c r="CX8" s="110"/>
    </row>
    <row r="9" spans="1:123" ht="12.75" customHeight="1">
      <c r="A9" s="153"/>
      <c r="B9" s="154"/>
      <c r="C9" s="154"/>
      <c r="D9" s="154"/>
      <c r="E9" s="154"/>
      <c r="F9" s="154"/>
      <c r="G9" s="154"/>
      <c r="H9" s="154"/>
      <c r="I9" s="154"/>
      <c r="J9" s="154"/>
      <c r="K9" s="155"/>
      <c r="M9" s="139"/>
      <c r="N9" s="140"/>
      <c r="O9" s="140"/>
      <c r="P9" s="140"/>
      <c r="Q9" s="140"/>
      <c r="R9" s="140"/>
      <c r="S9" s="141"/>
    </row>
    <row r="10" spans="1:123">
      <c r="A10" s="94">
        <v>1</v>
      </c>
      <c r="B10" s="95" t="str">
        <f t="shared" ref="B10:B33" si="0">INDEX(T,18+INT(MOD(U12-1,7)),lang)</f>
        <v>Sat</v>
      </c>
      <c r="C10" s="96" t="str">
        <f t="shared" ref="C10:C33" si="1">INDEX(T,24+MONTH(U12),lang) &amp; " " &amp; DAY(U12) &amp; ", " &amp; YEAR(U12)</f>
        <v>Jan 13, 2018</v>
      </c>
      <c r="D10" s="97">
        <f>TIME(HOUR(U12),MINUTE(U12),0)</f>
        <v>0.8125</v>
      </c>
      <c r="E10" s="98" t="str">
        <f>AN13</f>
        <v>Morocco</v>
      </c>
      <c r="F10" s="60"/>
      <c r="G10" s="99"/>
      <c r="H10" s="100" t="str">
        <f>AN16</f>
        <v>Mauritania</v>
      </c>
      <c r="I10" s="156" t="str">
        <f>INDEX(T,103,lang)</f>
        <v>Stade Mohamed V, Casablanca</v>
      </c>
      <c r="J10" s="157"/>
      <c r="K10" s="158"/>
      <c r="BM10" s="110"/>
      <c r="BN10" s="110"/>
      <c r="BO10" s="110"/>
      <c r="BP10" s="110"/>
    </row>
    <row r="11" spans="1:123">
      <c r="A11" s="64">
        <v>2</v>
      </c>
      <c r="B11" s="65" t="str">
        <f t="shared" si="0"/>
        <v>Sun</v>
      </c>
      <c r="C11" s="66" t="str">
        <f t="shared" si="1"/>
        <v>Jan 14, 2018</v>
      </c>
      <c r="D11" s="67">
        <f t="shared" ref="D11:D33" si="2">TIME(HOUR(U13),MINUTE(U13),0)</f>
        <v>0.60416666666666663</v>
      </c>
      <c r="E11" s="68" t="str">
        <f>AN14</f>
        <v>Guinea</v>
      </c>
      <c r="F11" s="56"/>
      <c r="G11" s="57"/>
      <c r="H11" s="74" t="str">
        <f>AN15</f>
        <v>Sudan</v>
      </c>
      <c r="I11" s="124" t="str">
        <f>INDEX(T,103,lang)</f>
        <v>Stade Mohamed V, Casablanca</v>
      </c>
      <c r="J11" s="125"/>
      <c r="K11" s="126"/>
      <c r="M11" s="54" t="str">
        <f>INDEX(T,9,lang) &amp; " " &amp; "A"</f>
        <v>Group A</v>
      </c>
      <c r="N11" s="55" t="str">
        <f>INDEX(T,10,lang)</f>
        <v>PL</v>
      </c>
      <c r="O11" s="55" t="str">
        <f>INDEX(T,11,lang)</f>
        <v>W</v>
      </c>
      <c r="P11" s="55" t="str">
        <f>INDEX(T,12,lang)</f>
        <v>DRAW</v>
      </c>
      <c r="Q11" s="55" t="str">
        <f>INDEX(T,13,lang)</f>
        <v>L</v>
      </c>
      <c r="R11" s="55" t="str">
        <f>INDEX(T,14,lang)</f>
        <v>GF - GA</v>
      </c>
      <c r="S11" s="114" t="str">
        <f>INDEX(T,15,lang)</f>
        <v>PNT</v>
      </c>
      <c r="U11" s="107" t="s">
        <v>22</v>
      </c>
      <c r="Y11" s="107" t="s">
        <v>14</v>
      </c>
      <c r="Z11" s="107" t="s">
        <v>15</v>
      </c>
      <c r="AM11" s="107" t="s">
        <v>13</v>
      </c>
      <c r="AN11" s="107" t="s">
        <v>12</v>
      </c>
      <c r="AO11" s="107" t="s">
        <v>7</v>
      </c>
      <c r="AP11" s="107" t="s">
        <v>8</v>
      </c>
      <c r="AQ11" s="107" t="s">
        <v>9</v>
      </c>
      <c r="AR11" s="107" t="s">
        <v>14</v>
      </c>
      <c r="AS11" s="107" t="s">
        <v>15</v>
      </c>
      <c r="AT11" s="107" t="s">
        <v>82</v>
      </c>
      <c r="AU11" s="107" t="s">
        <v>82</v>
      </c>
      <c r="AW11" s="107" t="s">
        <v>10</v>
      </c>
      <c r="AX11" s="107" t="s">
        <v>81</v>
      </c>
      <c r="BA11" s="107" t="s">
        <v>1</v>
      </c>
      <c r="BB11" s="107" t="s">
        <v>11</v>
      </c>
      <c r="BD11" s="107" t="s">
        <v>7</v>
      </c>
      <c r="BE11" s="109" t="s">
        <v>8</v>
      </c>
      <c r="BF11" s="109" t="s">
        <v>14</v>
      </c>
      <c r="BG11" s="109" t="s">
        <v>15</v>
      </c>
      <c r="BH11" s="109" t="s">
        <v>0</v>
      </c>
      <c r="BM11" s="110"/>
      <c r="BN11" s="110"/>
      <c r="BO11" s="110"/>
      <c r="BP11" s="110"/>
      <c r="BR11" s="113"/>
      <c r="BS11" s="113"/>
      <c r="BT11" s="113"/>
      <c r="BU11" s="113"/>
      <c r="BX11" s="113"/>
      <c r="BY11" s="113"/>
      <c r="BZ11" s="113"/>
      <c r="CA11" s="113"/>
      <c r="CC11" s="113"/>
      <c r="CD11" s="113"/>
      <c r="CE11" s="113"/>
      <c r="CF11" s="113"/>
      <c r="CH11" s="113"/>
      <c r="CI11" s="113"/>
      <c r="CJ11" s="113"/>
      <c r="CK11" s="113"/>
      <c r="CN11" s="113"/>
      <c r="CO11" s="113"/>
      <c r="CP11" s="113"/>
      <c r="CQ11" s="113"/>
      <c r="CU11" s="113"/>
      <c r="CV11" s="113"/>
      <c r="CW11" s="113"/>
      <c r="CX11" s="113"/>
      <c r="DD11" s="116" t="str">
        <f>INDEX(T,5,lang)</f>
        <v>Quarterfinals</v>
      </c>
      <c r="DE11" s="117"/>
      <c r="DF11" s="117"/>
      <c r="DG11" s="118"/>
      <c r="DJ11" s="116" t="str">
        <f>INDEX(T,6,lang)</f>
        <v>Semi-Finals</v>
      </c>
      <c r="DK11" s="117"/>
      <c r="DL11" s="117"/>
      <c r="DM11" s="118"/>
      <c r="DP11" s="116" t="str">
        <f>INDEX(T,8,lang)</f>
        <v>Final</v>
      </c>
      <c r="DQ11" s="117"/>
      <c r="DR11" s="117"/>
      <c r="DS11" s="118"/>
    </row>
    <row r="12" spans="1:123">
      <c r="A12" s="64">
        <v>3</v>
      </c>
      <c r="B12" s="65" t="str">
        <f t="shared" si="0"/>
        <v>Sun</v>
      </c>
      <c r="C12" s="66" t="str">
        <f t="shared" si="1"/>
        <v>Jan 14, 2018</v>
      </c>
      <c r="D12" s="67">
        <f t="shared" si="2"/>
        <v>0.6875</v>
      </c>
      <c r="E12" s="68" t="str">
        <f>AN19</f>
        <v>Ivory Coast</v>
      </c>
      <c r="F12" s="56"/>
      <c r="G12" s="57"/>
      <c r="H12" s="74" t="str">
        <f>AN22</f>
        <v>Namibia</v>
      </c>
      <c r="I12" s="124" t="str">
        <f>INDEX(T,104,lang)</f>
        <v>Stade de Marrakech, Marrakech</v>
      </c>
      <c r="J12" s="125"/>
      <c r="K12" s="126"/>
      <c r="M12" s="22" t="str">
        <f>VLOOKUP(1,AM13:AW16,2,FALSE)</f>
        <v>Morocco</v>
      </c>
      <c r="N12" s="27">
        <f>O12+P12+Q12</f>
        <v>0</v>
      </c>
      <c r="O12" s="27">
        <f>VLOOKUP(1,AM13:AW16,3,FALSE)</f>
        <v>0</v>
      </c>
      <c r="P12" s="27">
        <f>VLOOKUP(1,AM13:AW16,4,FALSE)</f>
        <v>0</v>
      </c>
      <c r="Q12" s="27">
        <f>VLOOKUP(1,AM13:AW16,5,FALSE)</f>
        <v>0</v>
      </c>
      <c r="R12" s="27" t="str">
        <f>VLOOKUP(1,AM13:AW16,6,FALSE) &amp; " - " &amp; VLOOKUP(1,AM13:AW16,7,FALSE)</f>
        <v>0 - 0</v>
      </c>
      <c r="S12" s="28">
        <f>O12*3+P12</f>
        <v>0</v>
      </c>
      <c r="U12" s="107">
        <f>DATE(2018,1,13)+TIME(8,30,0)+gmt_delta</f>
        <v>43113.8125</v>
      </c>
      <c r="V12" s="112" t="str">
        <f t="shared" ref="V12:V35" si="3">IF(OR(F10="",G10=""),"",IF(F10&gt;G10,E10&amp;"_win",IF(F10&lt;G10,E10&amp;"_lose",E10&amp;"_draw")))</f>
        <v/>
      </c>
      <c r="W12" s="112" t="str">
        <f t="shared" ref="W12:W35" si="4">IF(V12="","",IF(F10&lt;G10,H10&amp;"_win",IF(F10&gt;G10,H10&amp;"_lose",H10&amp;"_draw")))</f>
        <v/>
      </c>
      <c r="X12" s="108">
        <f t="shared" ref="X12:X35" si="5">IF(V12="",0,IF(VLOOKUP(E10,$AN$13:$AW$36,7,FALSE)=VLOOKUP(H10,$AN$13:$AW$36,7,FALSE),1,0))</f>
        <v>0</v>
      </c>
      <c r="Y12" s="107">
        <f t="shared" ref="Y12:Y35" si="6">X12*F10</f>
        <v>0</v>
      </c>
      <c r="Z12" s="107">
        <f t="shared" ref="Z12:Z35" si="7">X12*G10</f>
        <v>0</v>
      </c>
      <c r="AA12" s="107">
        <f t="shared" ref="AA12:AA35" si="8">VLOOKUP(E10,$BI$13:$BK$28,2,FALSE)</f>
        <v>1</v>
      </c>
      <c r="AB12" s="107">
        <f t="shared" ref="AB12:AB35" si="9">VLOOKUP(E10,$BI$13:$BK$28,3,FALSE)</f>
        <v>1</v>
      </c>
      <c r="AC12" s="107">
        <f t="shared" ref="AC12:AC35" si="10">VLOOKUP(H10,$BI$13:$BK$28,3,FALSE)</f>
        <v>4</v>
      </c>
      <c r="AD12" s="107" t="str">
        <f>AA12&amp;AB12&amp;AC12</f>
        <v>114</v>
      </c>
      <c r="AE12" s="107">
        <f>IF(OR(F10="",G10=""),0,IF(F10&gt;G10,3,IF(F10&lt;G10,0,1)))</f>
        <v>0</v>
      </c>
      <c r="AF12" s="107">
        <f>IF(OR(F10="",G10=""),0,F10-G10)</f>
        <v>0</v>
      </c>
      <c r="AG12" s="107">
        <f>IF(OR(F10="",G10=""),0,F10)</f>
        <v>0</v>
      </c>
      <c r="AH12" s="107" t="str">
        <f>AA12&amp;AC12&amp;AB12</f>
        <v>141</v>
      </c>
      <c r="AI12" s="107">
        <f>IF(OR(G10="",F10=""),0,IF(G10&gt;F10,3,IF(G10&lt;F10,0,1)))</f>
        <v>0</v>
      </c>
      <c r="AJ12" s="107">
        <f>IF(OR(G10="",F10=""),0,G10-F10)</f>
        <v>0</v>
      </c>
      <c r="AK12" s="107">
        <f>IF(OR(G10="",F10=""),0,G10)</f>
        <v>0</v>
      </c>
      <c r="BM12" s="110"/>
      <c r="BN12" s="110"/>
      <c r="BO12" s="110"/>
      <c r="BP12" s="110"/>
      <c r="CS12" s="109" t="s">
        <v>81</v>
      </c>
      <c r="CZ12" s="109" t="s">
        <v>81</v>
      </c>
      <c r="DD12" s="119"/>
      <c r="DE12" s="120"/>
      <c r="DF12" s="120"/>
      <c r="DG12" s="121"/>
      <c r="DJ12" s="119"/>
      <c r="DK12" s="120"/>
      <c r="DL12" s="120"/>
      <c r="DM12" s="121"/>
      <c r="DP12" s="119"/>
      <c r="DQ12" s="120"/>
      <c r="DR12" s="120"/>
      <c r="DS12" s="121"/>
    </row>
    <row r="13" spans="1:123">
      <c r="A13" s="64">
        <v>4</v>
      </c>
      <c r="B13" s="65" t="str">
        <f t="shared" si="0"/>
        <v>Sun</v>
      </c>
      <c r="C13" s="66" t="str">
        <f t="shared" si="1"/>
        <v>Jan 14, 2018</v>
      </c>
      <c r="D13" s="67">
        <f t="shared" si="2"/>
        <v>0.8125</v>
      </c>
      <c r="E13" s="68" t="str">
        <f>AN20</f>
        <v>Zambia</v>
      </c>
      <c r="F13" s="56"/>
      <c r="G13" s="57"/>
      <c r="H13" s="74" t="str">
        <f>AN21</f>
        <v>Uganda</v>
      </c>
      <c r="I13" s="124" t="str">
        <f>INDEX(T,104,lang)</f>
        <v>Stade de Marrakech, Marrakech</v>
      </c>
      <c r="J13" s="125"/>
      <c r="K13" s="126"/>
      <c r="M13" s="23" t="str">
        <f>VLOOKUP(2,AM13:AW16,2,FALSE)</f>
        <v>Guinea</v>
      </c>
      <c r="N13" s="29">
        <f>O13+P13+Q13</f>
        <v>0</v>
      </c>
      <c r="O13" s="29">
        <f>VLOOKUP(2,AM13:AW16,3,FALSE)</f>
        <v>0</v>
      </c>
      <c r="P13" s="29">
        <f>VLOOKUP(2,AM13:AW16,4,FALSE)</f>
        <v>0</v>
      </c>
      <c r="Q13" s="29">
        <f>VLOOKUP(2,AM13:AW16,5,FALSE)</f>
        <v>0</v>
      </c>
      <c r="R13" s="29" t="str">
        <f>VLOOKUP(2,AM13:AW16,6,FALSE) &amp; " - " &amp; VLOOKUP(2,AM13:AW16,7,FALSE)</f>
        <v>0 - 0</v>
      </c>
      <c r="S13" s="30">
        <f>O13*3+P13</f>
        <v>0</v>
      </c>
      <c r="U13" s="107">
        <f>DATE(2018,1,14)+TIME(3,30,0)+gmt_delta</f>
        <v>43114.604166666672</v>
      </c>
      <c r="V13" s="112" t="str">
        <f t="shared" si="3"/>
        <v/>
      </c>
      <c r="W13" s="112" t="str">
        <f t="shared" si="4"/>
        <v/>
      </c>
      <c r="X13" s="108">
        <f t="shared" si="5"/>
        <v>0</v>
      </c>
      <c r="Y13" s="107">
        <f t="shared" si="6"/>
        <v>0</v>
      </c>
      <c r="Z13" s="107">
        <f t="shared" si="7"/>
        <v>0</v>
      </c>
      <c r="AA13" s="107">
        <f t="shared" si="8"/>
        <v>1</v>
      </c>
      <c r="AB13" s="107">
        <f t="shared" si="9"/>
        <v>2</v>
      </c>
      <c r="AC13" s="107">
        <f t="shared" si="10"/>
        <v>3</v>
      </c>
      <c r="AD13" s="107" t="str">
        <f t="shared" ref="AD13:AD35" si="11">AA13&amp;AB13&amp;AC13</f>
        <v>123</v>
      </c>
      <c r="AE13" s="107">
        <f t="shared" ref="AE13:AE35" si="12">IF(OR(F11="",G11=""),0,IF(F11&gt;G11,3,IF(F11&lt;G11,0,1)))</f>
        <v>0</v>
      </c>
      <c r="AF13" s="107">
        <f t="shared" ref="AF13:AF35" si="13">IF(OR(F11="",G11=""),0,F11-G11)</f>
        <v>0</v>
      </c>
      <c r="AG13" s="107">
        <f t="shared" ref="AG13:AG35" si="14">IF(OR(F11="",G11=""),0,F11)</f>
        <v>0</v>
      </c>
      <c r="AH13" s="107" t="str">
        <f>AA13&amp;AC13&amp;AB13</f>
        <v>132</v>
      </c>
      <c r="AI13" s="107">
        <f t="shared" ref="AI13:AI35" si="15">IF(OR(G11="",F11=""),0,IF(G11&gt;F11,3,IF(G11&lt;F11,0,1)))</f>
        <v>0</v>
      </c>
      <c r="AJ13" s="107">
        <f t="shared" ref="AJ13:AJ35" si="16">IF(OR(G11="",F11=""),0,G11-F11)</f>
        <v>0</v>
      </c>
      <c r="AK13" s="107">
        <f t="shared" ref="AK13:AK35" si="17">IF(OR(G11="",F11=""),0,G11)</f>
        <v>0</v>
      </c>
      <c r="AM13" s="107">
        <f>DA13</f>
        <v>1</v>
      </c>
      <c r="AN13" s="108" t="str">
        <f>INDEX(T,47,lang)</f>
        <v>Morocco</v>
      </c>
      <c r="AO13" s="107">
        <f>COUNTIF($V$12:$W$35,"=" &amp; AN13 &amp; "_win")</f>
        <v>0</v>
      </c>
      <c r="AP13" s="107">
        <f>COUNTIF($V$12:$W$35,"=" &amp; AN13 &amp; "_draw")</f>
        <v>0</v>
      </c>
      <c r="AQ13" s="107">
        <f>COUNTIF($V$12:$W$35,"=" &amp; AN13 &amp; "_lose")</f>
        <v>0</v>
      </c>
      <c r="AR13" s="107">
        <f>SUMIF($E$10:$E$33,$AN13,$F$10:$F$33) + SUMIF($H$10:$H$33,$AN13,$G$10:$G$33)</f>
        <v>0</v>
      </c>
      <c r="AS13" s="107">
        <f>SUMIF($E$10:$E$33,$AN13,$G$10:$G$33) + SUMIF($H$10:$H$33,$AN13,$F$10:$F$33)</f>
        <v>0</v>
      </c>
      <c r="AT13" s="107">
        <f>AW13*10000</f>
        <v>0</v>
      </c>
      <c r="AU13" s="107">
        <f>AR13-AS13</f>
        <v>0</v>
      </c>
      <c r="AV13" s="107">
        <f>(AU13-AU18)/AU17</f>
        <v>0</v>
      </c>
      <c r="AW13" s="107">
        <f>AO13*3+AP13</f>
        <v>0</v>
      </c>
      <c r="AX13" s="107">
        <f>BD13/BD17*10+BE13/BE17+BH13/BH17*0.1+BF13/BF17*0.01</f>
        <v>0</v>
      </c>
      <c r="AY13" s="107">
        <f>RANK(AX13,$AX$13:$AX$16)</f>
        <v>1</v>
      </c>
      <c r="BA13" s="107">
        <f>VLOOKUP(AN13,db_fifarank,2,FALSE)/2000000</f>
        <v>3.6900000000000002E-4</v>
      </c>
      <c r="BB13" s="108">
        <f>10000000*AW13/AW17+100000*AX13/AX17+100*AV13+10*AR13/AR17+1*AX13/AX17+BA13</f>
        <v>3.6900000000000002E-4</v>
      </c>
      <c r="BC13" s="108" t="str">
        <f>IF(SUM(AO13:AQ16)=12,M12,INDEX(T,70,lang))</f>
        <v>1A</v>
      </c>
      <c r="BD13" s="107">
        <f>SUMPRODUCT(($V$12:$V$35=AN13&amp;"_win")*($X$12:$X$35))+SUMPRODUCT(($W$12:$W$35=AN13&amp;"_win")*($X$12:$X$35))</f>
        <v>0</v>
      </c>
      <c r="BE13" s="109">
        <f>SUMPRODUCT(($V$12:$V$35=AN13&amp;"_draw")*($X$12:$X$35))+SUMPRODUCT(($W$12:$W$35=AN13&amp;"_draw")*($X$12:$X$35))</f>
        <v>0</v>
      </c>
      <c r="BF13" s="109">
        <f>SUMPRODUCT(($E$10:$E$33=AN13)*($X$12:$X$35)*($F$10:$F$33))+SUMPRODUCT(($H$10:$H$33=AN13)*($X$12:$X$35)*($G$10:$G$33))</f>
        <v>0</v>
      </c>
      <c r="BG13" s="109">
        <f>SUMPRODUCT(($E$10:$E$33=AN13)*($X$12:$X$35)*($G$10:$G$33))+SUMPRODUCT(($H$10:$H$33=AN13)*($X$12:$X$35)*($F$10:$F$33))</f>
        <v>0</v>
      </c>
      <c r="BH13" s="109">
        <f>BF13-BG13</f>
        <v>0</v>
      </c>
      <c r="BI13" s="108" t="str">
        <f>AN13</f>
        <v>Morocco</v>
      </c>
      <c r="BJ13" s="108">
        <v>1</v>
      </c>
      <c r="BK13" s="108">
        <v>1</v>
      </c>
      <c r="BN13" s="109">
        <f>IFERROR(VLOOKUP("112",$AD$12:$AG$35,2,FALSE),0) + IFERROR(VLOOKUP("112",$AH$12:$AK$35,2,FALSE),0)</f>
        <v>0</v>
      </c>
      <c r="BO13" s="109">
        <f>IFERROR(VLOOKUP("113",$AD$12:$AG$35,2,FALSE),0) + IFERROR(VLOOKUP("113",$AH$12:$AK$35,2,FALSE),0)</f>
        <v>0</v>
      </c>
      <c r="BP13" s="109">
        <f>IFERROR(VLOOKUP("114",$AD$12:$AG$35,2,FALSE),0) + IFERROR(VLOOKUP("114",$AH$12:$AK$35,2,FALSE),0)</f>
        <v>0</v>
      </c>
      <c r="BQ13" s="110">
        <f>SUM(BM13:BP13)</f>
        <v>0</v>
      </c>
      <c r="BS13" s="109">
        <f>IFERROR(VLOOKUP("112",$AD$12:$AG$35,3,FALSE),0) + IFERROR(VLOOKUP("112",$AH$12:$AK$35,3,FALSE),0)</f>
        <v>0</v>
      </c>
      <c r="BT13" s="109">
        <f>IFERROR(VLOOKUP("113",$AD$12:$AG$35,3,FALSE),0) + IFERROR(VLOOKUP("113",$AH$12:$AK$35,3,FALSE),0)</f>
        <v>0</v>
      </c>
      <c r="BU13" s="109">
        <f>IFERROR(VLOOKUP("114",$AD$12:$AG$35,3,FALSE),0) + IFERROR(VLOOKUP("114",$AH$12:$AK$35,3,FALSE),0)</f>
        <v>0</v>
      </c>
      <c r="BV13" s="110">
        <f>SUM(BR13:BU13)</f>
        <v>0</v>
      </c>
      <c r="BW13" s="110">
        <f>RANK(BV13,BV13:BV16)</f>
        <v>1</v>
      </c>
      <c r="BY13" s="109">
        <f>IFERROR(VLOOKUP("112",$AD$12:$AG$35,4,FALSE),0) + IFERROR(VLOOKUP("112",$AH$12:$AK$35,4,FALSE),0)</f>
        <v>0</v>
      </c>
      <c r="BZ13" s="109">
        <f>IFERROR(VLOOKUP("113",$AD$12:$AG$35,4,FALSE),0) + IFERROR(VLOOKUP("113",$AH$12:$AK$35,4,FALSE),0)</f>
        <v>0</v>
      </c>
      <c r="CA13" s="109">
        <f>IFERROR(VLOOKUP("114",$AD$12:$AG$35,4,FALSE),0) + IFERROR(VLOOKUP("114",$AH$12:$AK$35,4,FALSE),0)</f>
        <v>0</v>
      </c>
      <c r="CB13" s="110">
        <f>SUM(BX13:CA13)</f>
        <v>0</v>
      </c>
      <c r="CD13" s="109">
        <f>IF(BN17=BQ13,BN13,0)</f>
        <v>0</v>
      </c>
      <c r="CE13" s="109">
        <f>IF(BO17=BQ13,BO13,0)</f>
        <v>0</v>
      </c>
      <c r="CF13" s="109">
        <f>IF(BP17=BQ13,BP13,0)</f>
        <v>0</v>
      </c>
      <c r="CG13" s="110">
        <f>SUM(CC13:CF13)</f>
        <v>0</v>
      </c>
      <c r="CI13" s="109">
        <f>IF(BN17=BQ13,BS13,0)</f>
        <v>0</v>
      </c>
      <c r="CJ13" s="109">
        <f>IF(BO17=BQ13,BT13,0)</f>
        <v>0</v>
      </c>
      <c r="CK13" s="109">
        <f>IF(BP17=BQ13,BU13,0)</f>
        <v>0</v>
      </c>
      <c r="CL13" s="110">
        <f>SUM(CH13:CK13)</f>
        <v>0</v>
      </c>
      <c r="CM13" s="110">
        <f>RANK(CL13,CL13:CL16)</f>
        <v>1</v>
      </c>
      <c r="CO13" s="109">
        <f>IF(BN17=BQ13,BY13,0)</f>
        <v>0</v>
      </c>
      <c r="CP13" s="109">
        <f>IF(BO17=BQ13,BZ13,0)</f>
        <v>0</v>
      </c>
      <c r="CQ13" s="109">
        <f>IF(BP17=BQ13,CA13,0)</f>
        <v>0</v>
      </c>
      <c r="CR13" s="110">
        <f>SUM(CN13:CQ13)</f>
        <v>0</v>
      </c>
      <c r="CS13" s="110">
        <f>BQ13*10000+CG13*100+(5-CM13)+CR13/10</f>
        <v>4</v>
      </c>
      <c r="CT13" s="110">
        <f>RANK(CS13,CS13:CS16)</f>
        <v>1</v>
      </c>
      <c r="CV13" s="109">
        <f>IF(CV17=CT13,BN13,0)</f>
        <v>0</v>
      </c>
      <c r="CW13" s="109">
        <f>IF(CW17=CT13,BO13,0)</f>
        <v>0</v>
      </c>
      <c r="CX13" s="109">
        <f>IF(CX17=CT13,BP13,0)</f>
        <v>0</v>
      </c>
      <c r="CY13" s="110">
        <f>SUM(CU13:CX13)</f>
        <v>0</v>
      </c>
      <c r="CZ13" s="110">
        <f>(5-CT13)*10000+CY13*100+(5-BW13)+CB13/10+BA13/100</f>
        <v>40004.000003690002</v>
      </c>
      <c r="DA13" s="110">
        <f>RANK(CZ13,CZ13:CZ16)</f>
        <v>1</v>
      </c>
      <c r="DE13" s="76"/>
      <c r="DF13" s="76"/>
      <c r="DK13" s="76"/>
      <c r="DL13" s="76"/>
      <c r="DM13" s="76"/>
      <c r="DN13" s="76"/>
      <c r="DO13" s="76"/>
      <c r="DP13" s="76"/>
      <c r="DQ13" s="76"/>
      <c r="DR13" s="76"/>
      <c r="DS13" s="76"/>
    </row>
    <row r="14" spans="1:123">
      <c r="A14" s="64">
        <v>5</v>
      </c>
      <c r="B14" s="65" t="str">
        <f t="shared" si="0"/>
        <v>Mon</v>
      </c>
      <c r="C14" s="66" t="str">
        <f t="shared" si="1"/>
        <v>Jan 15, 2018</v>
      </c>
      <c r="D14" s="67">
        <f t="shared" si="2"/>
        <v>0.6875</v>
      </c>
      <c r="E14" s="68" t="str">
        <f>AN25</f>
        <v>Libya</v>
      </c>
      <c r="F14" s="56"/>
      <c r="G14" s="57"/>
      <c r="H14" s="74" t="str">
        <f>AN28</f>
        <v>Equatorial Guinea</v>
      </c>
      <c r="I14" s="124" t="str">
        <f>INDEX(T,105,lang)</f>
        <v>Stade Ibn Batouta, Tangier</v>
      </c>
      <c r="J14" s="125"/>
      <c r="K14" s="126"/>
      <c r="M14" s="23" t="str">
        <f>VLOOKUP(3,AM13:AW16,2,FALSE)</f>
        <v>Mauritania</v>
      </c>
      <c r="N14" s="29">
        <f>O14+P14+Q14</f>
        <v>0</v>
      </c>
      <c r="O14" s="29">
        <f>VLOOKUP(3,AM13:AW16,3,FALSE)</f>
        <v>0</v>
      </c>
      <c r="P14" s="29">
        <f>VLOOKUP(3,AM13:AW16,4,FALSE)</f>
        <v>0</v>
      </c>
      <c r="Q14" s="29">
        <f>VLOOKUP(3,AM13:AW16,5,FALSE)</f>
        <v>0</v>
      </c>
      <c r="R14" s="29" t="str">
        <f>VLOOKUP(3,AM13:AW16,6,FALSE) &amp; " - " &amp; VLOOKUP(3,AM13:AW16,7,FALSE)</f>
        <v>0 - 0</v>
      </c>
      <c r="S14" s="30">
        <f>O14*3+P14</f>
        <v>0</v>
      </c>
      <c r="U14" s="107">
        <f>DATE(2018,1,14)+TIME(5,30,0)+gmt_delta</f>
        <v>43114.6875</v>
      </c>
      <c r="V14" s="112" t="str">
        <f t="shared" si="3"/>
        <v/>
      </c>
      <c r="W14" s="112" t="str">
        <f t="shared" si="4"/>
        <v/>
      </c>
      <c r="X14" s="108">
        <f t="shared" si="5"/>
        <v>0</v>
      </c>
      <c r="Y14" s="107">
        <f t="shared" si="6"/>
        <v>0</v>
      </c>
      <c r="Z14" s="107">
        <f t="shared" si="7"/>
        <v>0</v>
      </c>
      <c r="AA14" s="107">
        <f t="shared" si="8"/>
        <v>2</v>
      </c>
      <c r="AB14" s="107">
        <f t="shared" si="9"/>
        <v>1</v>
      </c>
      <c r="AC14" s="107">
        <f t="shared" si="10"/>
        <v>4</v>
      </c>
      <c r="AD14" s="107" t="str">
        <f t="shared" si="11"/>
        <v>214</v>
      </c>
      <c r="AE14" s="107">
        <f t="shared" si="12"/>
        <v>0</v>
      </c>
      <c r="AF14" s="107">
        <f t="shared" si="13"/>
        <v>0</v>
      </c>
      <c r="AG14" s="107">
        <f t="shared" si="14"/>
        <v>0</v>
      </c>
      <c r="AH14" s="107" t="str">
        <f t="shared" ref="AH14:AH35" si="18">AA14&amp;AC14&amp;AB14</f>
        <v>241</v>
      </c>
      <c r="AI14" s="107">
        <f t="shared" si="15"/>
        <v>0</v>
      </c>
      <c r="AJ14" s="107">
        <f t="shared" si="16"/>
        <v>0</v>
      </c>
      <c r="AK14" s="107">
        <f t="shared" si="17"/>
        <v>0</v>
      </c>
      <c r="AM14" s="107">
        <f t="shared" ref="AM14:AM16" si="19">DA14</f>
        <v>2</v>
      </c>
      <c r="AN14" s="108" t="str">
        <f>INDEX(T,43,lang)</f>
        <v>Guinea</v>
      </c>
      <c r="AO14" s="107">
        <f>COUNTIF($V$12:$W$35,"=" &amp; AN14 &amp; "_win")</f>
        <v>0</v>
      </c>
      <c r="AP14" s="107">
        <f>COUNTIF($V$12:$W$35,"=" &amp; AN14 &amp; "_draw")</f>
        <v>0</v>
      </c>
      <c r="AQ14" s="107">
        <f>COUNTIF($V$12:$W$35,"=" &amp; AN14 &amp; "_lose")</f>
        <v>0</v>
      </c>
      <c r="AR14" s="107">
        <f>SUMIF($E$10:$E$33,$AN14,$F$10:$F$33) + SUMIF($H$10:$H$33,$AN14,$G$10:$G$33)</f>
        <v>0</v>
      </c>
      <c r="AS14" s="107">
        <f>SUMIF($E$10:$E$33,$AN14,$G$10:$G$33) + SUMIF($H$10:$H$33,$AN14,$F$10:$F$33)</f>
        <v>0</v>
      </c>
      <c r="AT14" s="107">
        <f>AW14*10000</f>
        <v>0</v>
      </c>
      <c r="AU14" s="107">
        <f>AR14-AS14</f>
        <v>0</v>
      </c>
      <c r="AV14" s="107">
        <f>(AU14-AU18)/AU17</f>
        <v>0</v>
      </c>
      <c r="AW14" s="107">
        <f>AO14*3+AP14</f>
        <v>0</v>
      </c>
      <c r="AX14" s="107">
        <f>BD14/BD17*10+BE14/BE17+BH14/BH17*0.1+BF14/BF17*0.01</f>
        <v>0</v>
      </c>
      <c r="AY14" s="107">
        <f t="shared" ref="AY14:AY16" si="20">RANK(AX14,$AX$13:$AX$16)</f>
        <v>1</v>
      </c>
      <c r="BA14" s="107">
        <f>VLOOKUP(AN14,db_fifarank,2,FALSE)/2000000</f>
        <v>2.6600000000000001E-4</v>
      </c>
      <c r="BB14" s="108">
        <f>10000000*AW14/AW17+100000*AX14/AX17+100*AV14+10*AR14/AR17+1*AX14/AX17+BA14</f>
        <v>2.6600000000000001E-4</v>
      </c>
      <c r="BC14" s="108" t="str">
        <f>IF(SUM(AO13:AQ16)=12,M13,INDEX(T,71,lang))</f>
        <v>2A</v>
      </c>
      <c r="BD14" s="107">
        <f>SUMPRODUCT(($V$12:$V$35=AN14&amp;"_win")*($X$12:$X$35))+SUMPRODUCT(($W$12:$W$35=AN14&amp;"_win")*($X$12:$X$35))</f>
        <v>0</v>
      </c>
      <c r="BE14" s="109">
        <f>SUMPRODUCT(($V$12:$V$35=AN14&amp;"_draw")*($X$12:$X$35))+SUMPRODUCT(($W$12:$W$35=AN14&amp;"_draw")*($X$12:$X$35))</f>
        <v>0</v>
      </c>
      <c r="BF14" s="109">
        <f>SUMPRODUCT(($E$10:$E$33=AN14)*($X$12:$X$35)*($F$10:$F$33))+SUMPRODUCT(($H$10:$H$33=AN14)*($X$12:$X$35)*($G$10:$G$33))</f>
        <v>0</v>
      </c>
      <c r="BG14" s="109">
        <f>SUMPRODUCT(($E$10:$E$33=AN14)*($X$12:$X$35)*($G$10:$G$33))+SUMPRODUCT(($H$10:$H$33=AN14)*($X$12:$X$35)*($F$10:$F$33))</f>
        <v>0</v>
      </c>
      <c r="BH14" s="109">
        <f>BF14-BG14</f>
        <v>0</v>
      </c>
      <c r="BI14" s="108" t="str">
        <f t="shared" ref="BI14:BI16" si="21">AN14</f>
        <v>Guinea</v>
      </c>
      <c r="BJ14" s="108">
        <v>1</v>
      </c>
      <c r="BK14" s="108">
        <v>2</v>
      </c>
      <c r="BM14" s="109">
        <f>IFERROR(VLOOKUP("121",$AD$12:$AG$35,2,FALSE),0) + IFERROR(VLOOKUP("121",$AH$12:$AK$35,2,FALSE),0)</f>
        <v>0</v>
      </c>
      <c r="BO14" s="109">
        <f>IFERROR(VLOOKUP("123",$AD$12:$AG$35,2,FALSE),0) + IFERROR(VLOOKUP("123",$AH$12:$AK$35,2,FALSE),0)</f>
        <v>0</v>
      </c>
      <c r="BP14" s="109">
        <f>IFERROR(VLOOKUP("124",$AD$12:$AG$35,2,FALSE),0) + IFERROR(VLOOKUP("124",$AH$12:$AK$35,2,FALSE),0)</f>
        <v>0</v>
      </c>
      <c r="BQ14" s="110">
        <f>SUM(BM14:BP14)</f>
        <v>0</v>
      </c>
      <c r="BR14" s="109">
        <f>IFERROR(VLOOKUP("121",$AD$12:$AG$35,3,FALSE),0) + IFERROR(VLOOKUP("121",$AH$12:$AK$35,3,FALSE),0)</f>
        <v>0</v>
      </c>
      <c r="BT14" s="109">
        <f>IFERROR(VLOOKUP("123",$AD$12:$AG$35,3,FALSE),0) + IFERROR(VLOOKUP("123",$AH$12:$AK$35,3,FALSE),0)</f>
        <v>0</v>
      </c>
      <c r="BU14" s="109">
        <f>IFERROR(VLOOKUP("124",$AD$12:$AG$35,3,FALSE),0) + IFERROR(VLOOKUP("124",$AH$12:$AK$35,3,FALSE),0)</f>
        <v>0</v>
      </c>
      <c r="BV14" s="110">
        <f>SUM(BR14:BU14)</f>
        <v>0</v>
      </c>
      <c r="BW14" s="110">
        <f>RANK(BV14,BV13:BV16)</f>
        <v>1</v>
      </c>
      <c r="BX14" s="109">
        <f>IFERROR(VLOOKUP("121",$AD$12:$AG$35,4,FALSE),0) + IFERROR(VLOOKUP("121",$AH$12:$AK$35,4,FALSE),0)</f>
        <v>0</v>
      </c>
      <c r="BZ14" s="109">
        <f>IFERROR(VLOOKUP("123",$AD$12:$AG$35,4,FALSE),0) + IFERROR(VLOOKUP("123",$AH$12:$AK$35,4,FALSE),0)</f>
        <v>0</v>
      </c>
      <c r="CA14" s="109">
        <f>IFERROR(VLOOKUP("124",$AD$12:$AG$35,4,FALSE),0) + IFERROR(VLOOKUP("124",$AH$12:$AK$35,4,FALSE),0)</f>
        <v>0</v>
      </c>
      <c r="CB14" s="110">
        <f>SUM(BX14:CA14)</f>
        <v>0</v>
      </c>
      <c r="CC14" s="109">
        <f>IF(BM17=BQ14,BM14,0)</f>
        <v>0</v>
      </c>
      <c r="CE14" s="109">
        <f>IF(BO17=BQ14,BO14,0)</f>
        <v>0</v>
      </c>
      <c r="CF14" s="109">
        <f>IF(BP17=BQ14,BP14,0)</f>
        <v>0</v>
      </c>
      <c r="CG14" s="110">
        <f>SUM(CC14:CF14)</f>
        <v>0</v>
      </c>
      <c r="CH14" s="109">
        <f>IF(BM17=BQ14,BR14,0)</f>
        <v>0</v>
      </c>
      <c r="CJ14" s="109">
        <f>IF(BO17=BQ14,BT14,0)</f>
        <v>0</v>
      </c>
      <c r="CK14" s="109">
        <f>IF(BP17=BQ14,BU14,0)</f>
        <v>0</v>
      </c>
      <c r="CL14" s="110">
        <f>SUM(CH14:CK14)</f>
        <v>0</v>
      </c>
      <c r="CM14" s="110">
        <f>RANK(CL14,CL13:CL16)</f>
        <v>1</v>
      </c>
      <c r="CN14" s="109">
        <f>IF(BM17=BQ14,BX14,0)</f>
        <v>0</v>
      </c>
      <c r="CP14" s="109">
        <f>IF(BO17=BQ14,BZ14,0)</f>
        <v>0</v>
      </c>
      <c r="CQ14" s="109">
        <f>IF(BP17=BQ14,CA14,0)</f>
        <v>0</v>
      </c>
      <c r="CR14" s="110">
        <f>SUM(CN14:CQ14)</f>
        <v>0</v>
      </c>
      <c r="CS14" s="110">
        <f t="shared" ref="CS14:CS16" si="22">BQ14*10000+CG14*100+(5-CM14)+CR14/10</f>
        <v>4</v>
      </c>
      <c r="CT14" s="110">
        <f>RANK(CS14,CS13:CS16)</f>
        <v>1</v>
      </c>
      <c r="CU14" s="109">
        <f>IF(CU17=CT14,BM14,0)</f>
        <v>0</v>
      </c>
      <c r="CW14" s="109">
        <f>IF(CW17=CT14,BO14,0)</f>
        <v>0</v>
      </c>
      <c r="CX14" s="109">
        <f>IF(CX17=CT14,BP14,0)</f>
        <v>0</v>
      </c>
      <c r="CY14" s="110">
        <f t="shared" ref="CY14:CY17" si="23">SUM(CU14:CX14)</f>
        <v>0</v>
      </c>
      <c r="CZ14" s="110">
        <f t="shared" ref="CZ14:CZ16" si="24">(5-CT14)*10000+CY14*100+(5-BW14)+CB14/10+BA14/100</f>
        <v>40004.000002660003</v>
      </c>
      <c r="DA14" s="110">
        <f>RANK(CZ14,CZ13:CZ16)</f>
        <v>2</v>
      </c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</row>
    <row r="15" spans="1:123">
      <c r="A15" s="64">
        <v>6</v>
      </c>
      <c r="B15" s="65" t="str">
        <f t="shared" si="0"/>
        <v>Mon</v>
      </c>
      <c r="C15" s="66" t="str">
        <f t="shared" si="1"/>
        <v>Jan 15, 2018</v>
      </c>
      <c r="D15" s="67">
        <f t="shared" si="2"/>
        <v>0.8125</v>
      </c>
      <c r="E15" s="68" t="str">
        <f>AN26</f>
        <v>Nigeria</v>
      </c>
      <c r="F15" s="56"/>
      <c r="G15" s="57"/>
      <c r="H15" s="74" t="str">
        <f>AN27</f>
        <v>Rwanda</v>
      </c>
      <c r="I15" s="124" t="str">
        <f>INDEX(T,105,lang)</f>
        <v>Stade Ibn Batouta, Tangier</v>
      </c>
      <c r="J15" s="127"/>
      <c r="K15" s="128"/>
      <c r="M15" s="24" t="str">
        <f>VLOOKUP(4,AM13:AW16,2,FALSE)</f>
        <v>Sudan</v>
      </c>
      <c r="N15" s="31">
        <f>O15+P15+Q15</f>
        <v>0</v>
      </c>
      <c r="O15" s="31">
        <f>VLOOKUP(4,AM13:AW16,3,FALSE)</f>
        <v>0</v>
      </c>
      <c r="P15" s="31">
        <f>VLOOKUP(4,AM13:AW16,4,FALSE)</f>
        <v>0</v>
      </c>
      <c r="Q15" s="31">
        <f>VLOOKUP(4,AM13:AW16,5,FALSE)</f>
        <v>0</v>
      </c>
      <c r="R15" s="31" t="str">
        <f>VLOOKUP(4,AM13:AW16,6,FALSE) &amp; " - " &amp; VLOOKUP(4,AM13:AW16,7,FALSE)</f>
        <v>0 - 0</v>
      </c>
      <c r="S15" s="32">
        <f>O15*3+P15</f>
        <v>0</v>
      </c>
      <c r="U15" s="107">
        <f>DATE(2018,1,14)+TIME(8,30,0)+gmt_delta</f>
        <v>43114.8125</v>
      </c>
      <c r="V15" s="112" t="str">
        <f t="shared" si="3"/>
        <v/>
      </c>
      <c r="W15" s="112" t="str">
        <f t="shared" si="4"/>
        <v/>
      </c>
      <c r="X15" s="108">
        <f t="shared" si="5"/>
        <v>0</v>
      </c>
      <c r="Y15" s="107">
        <f t="shared" si="6"/>
        <v>0</v>
      </c>
      <c r="Z15" s="107">
        <f t="shared" si="7"/>
        <v>0</v>
      </c>
      <c r="AA15" s="107">
        <f t="shared" si="8"/>
        <v>2</v>
      </c>
      <c r="AB15" s="107">
        <f t="shared" si="9"/>
        <v>2</v>
      </c>
      <c r="AC15" s="107">
        <f t="shared" si="10"/>
        <v>3</v>
      </c>
      <c r="AD15" s="107" t="str">
        <f t="shared" si="11"/>
        <v>223</v>
      </c>
      <c r="AE15" s="107">
        <f t="shared" si="12"/>
        <v>0</v>
      </c>
      <c r="AF15" s="107">
        <f t="shared" si="13"/>
        <v>0</v>
      </c>
      <c r="AG15" s="107">
        <f t="shared" si="14"/>
        <v>0</v>
      </c>
      <c r="AH15" s="107" t="str">
        <f t="shared" si="18"/>
        <v>232</v>
      </c>
      <c r="AI15" s="107">
        <f t="shared" si="15"/>
        <v>0</v>
      </c>
      <c r="AJ15" s="107">
        <f t="shared" si="16"/>
        <v>0</v>
      </c>
      <c r="AK15" s="107">
        <f t="shared" si="17"/>
        <v>0</v>
      </c>
      <c r="AM15" s="107">
        <f t="shared" si="19"/>
        <v>4</v>
      </c>
      <c r="AN15" s="108" t="str">
        <f>INDEX(T,51,lang)</f>
        <v>Sudan</v>
      </c>
      <c r="AO15" s="107">
        <f>COUNTIF($V$12:$W$35,"=" &amp; AN15 &amp; "_win")</f>
        <v>0</v>
      </c>
      <c r="AP15" s="107">
        <f>COUNTIF($V$12:$W$35,"=" &amp; AN15 &amp; "_draw")</f>
        <v>0</v>
      </c>
      <c r="AQ15" s="107">
        <f>COUNTIF($V$12:$W$35,"=" &amp; AN15 &amp; "_lose")</f>
        <v>0</v>
      </c>
      <c r="AR15" s="107">
        <f>SUMIF($E$10:$E$33,$AN15,$F$10:$F$33) + SUMIF($H$10:$H$33,$AN15,$G$10:$G$33)</f>
        <v>0</v>
      </c>
      <c r="AS15" s="107">
        <f>SUMIF($E$10:$E$33,$AN15,$G$10:$G$33) + SUMIF($H$10:$H$33,$AN15,$F$10:$F$33)</f>
        <v>0</v>
      </c>
      <c r="AT15" s="107">
        <f>AW15*10000</f>
        <v>0</v>
      </c>
      <c r="AU15" s="107">
        <f>AR15-AS15</f>
        <v>0</v>
      </c>
      <c r="AV15" s="107">
        <f>(AU15-AU18)/AU17</f>
        <v>0</v>
      </c>
      <c r="AW15" s="107">
        <f>AO15*3+AP15</f>
        <v>0</v>
      </c>
      <c r="AX15" s="107">
        <f>BD15/BD17*10+BE15/BE17+BH15/BH17*0.1+BF15/BF17*0.01</f>
        <v>0</v>
      </c>
      <c r="AY15" s="107">
        <f t="shared" si="20"/>
        <v>1</v>
      </c>
      <c r="BA15" s="107">
        <f>VLOOKUP(AN15,db_fifarank,2,FALSE)/2000000</f>
        <v>1.0950000000000001E-4</v>
      </c>
      <c r="BB15" s="108">
        <f>10000000*AW15/AW17+100000*AX15/AX17+100*AV15+10*AR15/AR17+1*AX15/AX17+BA15</f>
        <v>1.0950000000000001E-4</v>
      </c>
      <c r="BC15" s="108" t="str">
        <f>IF(SUM(AO13:AQ16)&gt;0,M14,"3A")</f>
        <v>3A</v>
      </c>
      <c r="BD15" s="107">
        <f>SUMPRODUCT(($V$12:$V$35=AN15&amp;"_win")*($X$12:$X$35))+SUMPRODUCT(($W$12:$W$35=AN15&amp;"_win")*($X$12:$X$35))</f>
        <v>0</v>
      </c>
      <c r="BE15" s="109">
        <f>SUMPRODUCT(($V$12:$V$35=AN15&amp;"_draw")*($X$12:$X$35))+SUMPRODUCT(($W$12:$W$35=AN15&amp;"_draw")*($X$12:$X$35))</f>
        <v>0</v>
      </c>
      <c r="BF15" s="109">
        <f>SUMPRODUCT(($E$10:$E$33=AN15)*($X$12:$X$35)*($F$10:$F$33))+SUMPRODUCT(($H$10:$H$33=AN15)*($X$12:$X$35)*($G$10:$G$33))</f>
        <v>0</v>
      </c>
      <c r="BG15" s="109">
        <f>SUMPRODUCT(($E$10:$E$33=AN15)*($X$12:$X$35)*($G$10:$G$33))+SUMPRODUCT(($H$10:$H$33=AN15)*($X$12:$X$35)*($F$10:$F$33))</f>
        <v>0</v>
      </c>
      <c r="BH15" s="109">
        <f>BF15-BG15</f>
        <v>0</v>
      </c>
      <c r="BI15" s="108" t="str">
        <f t="shared" si="21"/>
        <v>Sudan</v>
      </c>
      <c r="BJ15" s="108">
        <v>1</v>
      </c>
      <c r="BK15" s="108">
        <v>3</v>
      </c>
      <c r="BM15" s="109">
        <f>IFERROR(VLOOKUP("131",$AD$12:$AG$35,2,FALSE),0) + IFERROR(VLOOKUP("131",$AH$12:$AK$35,2,FALSE),0)</f>
        <v>0</v>
      </c>
      <c r="BN15" s="109">
        <f>IFERROR(VLOOKUP("132",$AD$12:$AG$35,2,FALSE),0) + IFERROR(VLOOKUP("132",$AH$12:$AK$35,2,FALSE),0)</f>
        <v>0</v>
      </c>
      <c r="BP15" s="109">
        <f>IFERROR(VLOOKUP("134",$AD$12:$AG$35,2,FALSE),0) + IFERROR(VLOOKUP("134",$AH$12:$AK$35,2,FALSE),0)</f>
        <v>0</v>
      </c>
      <c r="BQ15" s="110">
        <f>SUM(BM15:BP15)</f>
        <v>0</v>
      </c>
      <c r="BR15" s="109">
        <f>IFERROR(VLOOKUP("131",$AD$12:$AG$35,3,FALSE),0) + IFERROR(VLOOKUP("131",$AH$12:$AK$35,3,FALSE),0)</f>
        <v>0</v>
      </c>
      <c r="BS15" s="109">
        <f>IFERROR(VLOOKUP("132",$AD$12:$AG$35,3,FALSE),0) + IFERROR(VLOOKUP("132",$AH$12:$AK$35,3,FALSE),0)</f>
        <v>0</v>
      </c>
      <c r="BU15" s="109">
        <f>IFERROR(VLOOKUP("134",$AD$12:$AG$35,3,FALSE),0) + IFERROR(VLOOKUP("134",$AH$12:$AK$35,3,FALSE),0)</f>
        <v>0</v>
      </c>
      <c r="BV15" s="110">
        <f>SUM(BR15:BU15)</f>
        <v>0</v>
      </c>
      <c r="BW15" s="110">
        <f>RANK(BV15,BV13:BV16)</f>
        <v>1</v>
      </c>
      <c r="BX15" s="109">
        <f>IFERROR(VLOOKUP("131",$AD$12:$AG$35,4,FALSE),0) + IFERROR(VLOOKUP("131",$AH$12:$AK$35,4,FALSE),0)</f>
        <v>0</v>
      </c>
      <c r="BY15" s="109">
        <f>IFERROR(VLOOKUP("132",$AD$12:$AG$35,4,FALSE),0) + IFERROR(VLOOKUP("132",$AH$12:$AK$35,4,FALSE),0)</f>
        <v>0</v>
      </c>
      <c r="CA15" s="109">
        <f>IFERROR(VLOOKUP("134",$AD$12:$AG$35,4,FALSE),0) + IFERROR(VLOOKUP("134",$AH$12:$AK$35,4,FALSE),0)</f>
        <v>0</v>
      </c>
      <c r="CB15" s="110">
        <f>SUM(BX15:CA15)</f>
        <v>0</v>
      </c>
      <c r="CC15" s="109">
        <f>IF(BM17=BQ15,BM15,0)</f>
        <v>0</v>
      </c>
      <c r="CD15" s="109">
        <f>IF(BN17=BQ15,BN15,0)</f>
        <v>0</v>
      </c>
      <c r="CF15" s="109">
        <f>IF(BP17=BQ15,BP15,0)</f>
        <v>0</v>
      </c>
      <c r="CG15" s="110">
        <f>SUM(CC15:CF15)</f>
        <v>0</v>
      </c>
      <c r="CH15" s="109">
        <f>IF(BM17=BQ15,BR15,0)</f>
        <v>0</v>
      </c>
      <c r="CI15" s="109">
        <f>IF(BN17=BQ15,BS15,0)</f>
        <v>0</v>
      </c>
      <c r="CK15" s="109">
        <f>IF(BP17=BQ15,BU15,0)</f>
        <v>0</v>
      </c>
      <c r="CL15" s="110">
        <f>SUM(CH15:CK15)</f>
        <v>0</v>
      </c>
      <c r="CM15" s="110">
        <f>RANK(CL15,CL13:CL16)</f>
        <v>1</v>
      </c>
      <c r="CN15" s="109">
        <f>IF(BM17=BQ15,BX15,0)</f>
        <v>0</v>
      </c>
      <c r="CO15" s="109">
        <f>IF(BN17=BQ15,BY15,0)</f>
        <v>0</v>
      </c>
      <c r="CQ15" s="109">
        <f>IF(BP17=BQ15,CA15,0)</f>
        <v>0</v>
      </c>
      <c r="CR15" s="110">
        <f>SUM(CN15:CQ15)</f>
        <v>0</v>
      </c>
      <c r="CS15" s="110">
        <f t="shared" si="22"/>
        <v>4</v>
      </c>
      <c r="CT15" s="110">
        <f>RANK(CS15,CS13:CS16)</f>
        <v>1</v>
      </c>
      <c r="CU15" s="109">
        <f>IF(CU17=CT15,BM15,0)</f>
        <v>0</v>
      </c>
      <c r="CV15" s="109">
        <f>IF(CV17=CT15,BN15,0)</f>
        <v>0</v>
      </c>
      <c r="CX15" s="109">
        <f>IF(CX17=CT15,BP15,0)</f>
        <v>0</v>
      </c>
      <c r="CY15" s="110">
        <f t="shared" si="23"/>
        <v>0</v>
      </c>
      <c r="CZ15" s="110">
        <f t="shared" si="24"/>
        <v>40004.000001095003</v>
      </c>
      <c r="DA15" s="110">
        <f>RANK(CZ15,CZ13:CZ16)</f>
        <v>4</v>
      </c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</row>
    <row r="16" spans="1:123">
      <c r="A16" s="64">
        <v>7</v>
      </c>
      <c r="B16" s="65" t="str">
        <f t="shared" si="0"/>
        <v>Tue</v>
      </c>
      <c r="C16" s="66" t="str">
        <f t="shared" si="1"/>
        <v>Jan 16, 2018</v>
      </c>
      <c r="D16" s="67">
        <f t="shared" si="2"/>
        <v>0.6875</v>
      </c>
      <c r="E16" s="68" t="str">
        <f>AN31</f>
        <v>Angola</v>
      </c>
      <c r="F16" s="56"/>
      <c r="G16" s="57"/>
      <c r="H16" s="74" t="str">
        <f>AN34</f>
        <v>Burkina Faso</v>
      </c>
      <c r="I16" s="124" t="str">
        <f>INDEX(T,106,lang)</f>
        <v>Stade Adrar, Agadir</v>
      </c>
      <c r="J16" s="127"/>
      <c r="K16" s="128"/>
      <c r="M16" s="33"/>
      <c r="N16" s="34"/>
      <c r="O16" s="34"/>
      <c r="P16" s="34"/>
      <c r="Q16" s="34"/>
      <c r="R16" s="34"/>
      <c r="S16" s="34"/>
      <c r="U16" s="107">
        <f>DATE(2018,1,15)+TIME(5,30,0)+gmt_delta</f>
        <v>43115.6875</v>
      </c>
      <c r="V16" s="112" t="str">
        <f t="shared" si="3"/>
        <v/>
      </c>
      <c r="W16" s="112" t="str">
        <f t="shared" si="4"/>
        <v/>
      </c>
      <c r="X16" s="108">
        <f t="shared" si="5"/>
        <v>0</v>
      </c>
      <c r="Y16" s="107">
        <f t="shared" si="6"/>
        <v>0</v>
      </c>
      <c r="Z16" s="107">
        <f t="shared" si="7"/>
        <v>0</v>
      </c>
      <c r="AA16" s="107">
        <f t="shared" si="8"/>
        <v>3</v>
      </c>
      <c r="AB16" s="107">
        <f t="shared" si="9"/>
        <v>1</v>
      </c>
      <c r="AC16" s="107">
        <f t="shared" si="10"/>
        <v>4</v>
      </c>
      <c r="AD16" s="107" t="str">
        <f t="shared" si="11"/>
        <v>314</v>
      </c>
      <c r="AE16" s="107">
        <f t="shared" si="12"/>
        <v>0</v>
      </c>
      <c r="AF16" s="107">
        <f t="shared" si="13"/>
        <v>0</v>
      </c>
      <c r="AG16" s="107">
        <f t="shared" si="14"/>
        <v>0</v>
      </c>
      <c r="AH16" s="107" t="str">
        <f t="shared" si="18"/>
        <v>341</v>
      </c>
      <c r="AI16" s="107">
        <f t="shared" si="15"/>
        <v>0</v>
      </c>
      <c r="AJ16" s="107">
        <f t="shared" si="16"/>
        <v>0</v>
      </c>
      <c r="AK16" s="107">
        <f t="shared" si="17"/>
        <v>0</v>
      </c>
      <c r="AM16" s="107">
        <f t="shared" si="19"/>
        <v>3</v>
      </c>
      <c r="AN16" s="108" t="str">
        <f>INDEX(T,46,lang)</f>
        <v>Mauritania</v>
      </c>
      <c r="AO16" s="107">
        <f>COUNTIF($V$12:$W$35,"=" &amp; AN16 &amp; "_win")</f>
        <v>0</v>
      </c>
      <c r="AP16" s="107">
        <f>COUNTIF($V$12:$W$35,"=" &amp; AN16 &amp; "_draw")</f>
        <v>0</v>
      </c>
      <c r="AQ16" s="107">
        <f>COUNTIF($V$12:$W$35,"=" &amp; AN16 &amp; "_lose")</f>
        <v>0</v>
      </c>
      <c r="AR16" s="107">
        <f>SUMIF($E$10:$E$33,$AN16,$F$10:$F$33) + SUMIF($H$10:$H$33,$AN16,$G$10:$G$33)</f>
        <v>0</v>
      </c>
      <c r="AS16" s="107">
        <f>SUMIF($E$10:$E$33,$AN16,$G$10:$G$33) + SUMIF($H$10:$H$33,$AN16,$F$10:$F$33)</f>
        <v>0</v>
      </c>
      <c r="AT16" s="107">
        <f>AW16*10000</f>
        <v>0</v>
      </c>
      <c r="AU16" s="107">
        <f>AR16-AS16</f>
        <v>0</v>
      </c>
      <c r="AV16" s="107">
        <f>(AU16-AU18)/AU17</f>
        <v>0</v>
      </c>
      <c r="AW16" s="107">
        <f>AO16*3+AP16</f>
        <v>0</v>
      </c>
      <c r="AX16" s="107">
        <f>BD16/BD17*10+BE16/BE17+BH16/BH17*0.1+BF16/BF17*0.01</f>
        <v>0</v>
      </c>
      <c r="AY16" s="107">
        <f t="shared" si="20"/>
        <v>1</v>
      </c>
      <c r="BA16" s="107">
        <f>VLOOKUP(AN16,db_fifarank,2,FALSE)/2000000</f>
        <v>1.7699999999999999E-4</v>
      </c>
      <c r="BB16" s="108">
        <f>10000000*AW16/AW17+100000*AX16/AX17+100*AV16+10*AR16/AR17+1*AX16/AX17+BA16</f>
        <v>1.7699999999999999E-4</v>
      </c>
      <c r="BD16" s="107">
        <f>SUMPRODUCT(($V$12:$V$35=AN16&amp;"_win")*($X$12:$X$35))+SUMPRODUCT(($W$12:$W$35=AN16&amp;"_win")*($X$12:$X$35))</f>
        <v>0</v>
      </c>
      <c r="BE16" s="109">
        <f>SUMPRODUCT(($V$12:$V$35=AN16&amp;"_draw")*($X$12:$X$35))+SUMPRODUCT(($W$12:$W$35=AN16&amp;"_draw")*($X$12:$X$35))</f>
        <v>0</v>
      </c>
      <c r="BF16" s="109">
        <f>SUMPRODUCT(($E$10:$E$33=AN16)*($X$12:$X$35)*($F$10:$F$33))+SUMPRODUCT(($H$10:$H$33=AN16)*($X$12:$X$35)*($G$10:$G$33))</f>
        <v>0</v>
      </c>
      <c r="BG16" s="109">
        <f>SUMPRODUCT(($E$10:$E$33=AN16)*($X$12:$X$35)*($G$10:$G$33))+SUMPRODUCT(($H$10:$H$33=AN16)*($X$12:$X$35)*($F$10:$F$33))</f>
        <v>0</v>
      </c>
      <c r="BH16" s="109">
        <f>BF16-BG16</f>
        <v>0</v>
      </c>
      <c r="BI16" s="108" t="str">
        <f t="shared" si="21"/>
        <v>Mauritania</v>
      </c>
      <c r="BJ16" s="108">
        <v>1</v>
      </c>
      <c r="BK16" s="108">
        <v>4</v>
      </c>
      <c r="BM16" s="109">
        <f>IFERROR(VLOOKUP("141",$AD$12:$AG$35,2,FALSE),0) + IFERROR(VLOOKUP("141",$AH$12:$AK$35,2,FALSE),0)</f>
        <v>0</v>
      </c>
      <c r="BN16" s="109">
        <f>IFERROR(VLOOKUP("142",$AD$12:$AG$35,2,FALSE),0) + IFERROR(VLOOKUP("142",$AH$12:$AK$35,2,FALSE),0)</f>
        <v>0</v>
      </c>
      <c r="BO16" s="109">
        <f>IFERROR(VLOOKUP("143",$AD$12:$AG$35,2,FALSE),0) + IFERROR(VLOOKUP("143",$AH$12:$AK$35,2,FALSE),0)</f>
        <v>0</v>
      </c>
      <c r="BQ16" s="110">
        <f>SUM(BM16:BP16)</f>
        <v>0</v>
      </c>
      <c r="BR16" s="109">
        <f>IFERROR(VLOOKUP("141",$AD$12:$AG$35,3,FALSE),0) + IFERROR(VLOOKUP("141",$AH$12:$AK$35,3,FALSE),0)</f>
        <v>0</v>
      </c>
      <c r="BS16" s="109">
        <f>IFERROR(VLOOKUP("142",$AD$12:$AG$35,3,FALSE),0) + IFERROR(VLOOKUP("142",$AH$12:$AK$35,3,FALSE),0)</f>
        <v>0</v>
      </c>
      <c r="BT16" s="109">
        <f>IFERROR(VLOOKUP("143",$AD$12:$AG$35,3,FALSE),0) + IFERROR(VLOOKUP("143",$AH$12:$AK$35,3,FALSE),0)</f>
        <v>0</v>
      </c>
      <c r="BV16" s="110">
        <f>SUM(BR16:BU16)</f>
        <v>0</v>
      </c>
      <c r="BW16" s="110">
        <f>RANK(BV16,BV13:BV16)</f>
        <v>1</v>
      </c>
      <c r="BX16" s="109">
        <f>IFERROR(VLOOKUP("141",$AD$12:$AG$35,4,FALSE),0) + IFERROR(VLOOKUP("141",$AH$12:$AK$35,4,FALSE),0)</f>
        <v>0</v>
      </c>
      <c r="BY16" s="109">
        <f>IFERROR(VLOOKUP("142",$AD$12:$AG$35,4,FALSE),0) + IFERROR(VLOOKUP("142",$AH$12:$AK$35,4,FALSE),0)</f>
        <v>0</v>
      </c>
      <c r="BZ16" s="109">
        <f>IFERROR(VLOOKUP("143",$AD$12:$AG$35,4,FALSE),0) + IFERROR(VLOOKUP("143",$AH$12:$AK$35,4,FALSE),0)</f>
        <v>0</v>
      </c>
      <c r="CB16" s="110">
        <f>SUM(BX16:CA16)</f>
        <v>0</v>
      </c>
      <c r="CC16" s="109">
        <f>IF(BM17=BQ16,BM16,0)</f>
        <v>0</v>
      </c>
      <c r="CD16" s="109">
        <f>IF(BN17=BQ16,BN16,0)</f>
        <v>0</v>
      </c>
      <c r="CE16" s="109">
        <f>IF(BO17=BQ16,BO16,0)</f>
        <v>0</v>
      </c>
      <c r="CG16" s="110">
        <f>SUM(CC16:CF16)</f>
        <v>0</v>
      </c>
      <c r="CH16" s="109">
        <f>IF(BM17=BQ16,BR16,0)</f>
        <v>0</v>
      </c>
      <c r="CI16" s="109">
        <f>IF(BN17=BQ16,BS16,0)</f>
        <v>0</v>
      </c>
      <c r="CJ16" s="109">
        <f>IF(BO17=BQ16,BT16,0)</f>
        <v>0</v>
      </c>
      <c r="CL16" s="110">
        <f>SUM(CH16:CK16)</f>
        <v>0</v>
      </c>
      <c r="CM16" s="110">
        <f>RANK(CL16,CL13:CL16)</f>
        <v>1</v>
      </c>
      <c r="CN16" s="109">
        <f>IF(BM17=BQ16,BX16,0)</f>
        <v>0</v>
      </c>
      <c r="CO16" s="109">
        <f>IF(BN17=BQ16,BY16,0)</f>
        <v>0</v>
      </c>
      <c r="CP16" s="109">
        <f>IF(BO17=BQ16,BZ16,0)</f>
        <v>0</v>
      </c>
      <c r="CR16" s="110">
        <f>SUM(CN16:CQ16)</f>
        <v>0</v>
      </c>
      <c r="CS16" s="110">
        <f t="shared" si="22"/>
        <v>4</v>
      </c>
      <c r="CT16" s="110">
        <f>RANK(CS16,CS13:CS16)</f>
        <v>1</v>
      </c>
      <c r="CU16" s="109">
        <f>IF(CU17=CT16,BM16,0)</f>
        <v>0</v>
      </c>
      <c r="CV16" s="109">
        <f>IF(CV17=CT16,BN16,0)</f>
        <v>0</v>
      </c>
      <c r="CW16" s="109">
        <f>IF(CW17=CT16,BO16,0)</f>
        <v>0</v>
      </c>
      <c r="CY16" s="110">
        <f t="shared" si="23"/>
        <v>0</v>
      </c>
      <c r="CZ16" s="110">
        <f t="shared" si="24"/>
        <v>40004.00000177</v>
      </c>
      <c r="DA16" s="110">
        <f>RANK(CZ16,CZ13:CZ16)</f>
        <v>3</v>
      </c>
      <c r="DD16" s="76" t="str">
        <f>INDEX(T,24+MONTH(U39),lang) &amp; " " &amp; DAY(U39) &amp; ", " &amp; YEAR(U39) &amp; "   " &amp; TEXT(HOUR(U39), "00") &amp; ":" &amp; TEXT(MINUTE(U39),"00")</f>
        <v>Jan 27, 2018   16:30</v>
      </c>
      <c r="DE16" s="76"/>
      <c r="DF16" s="76"/>
      <c r="DG16" s="85"/>
      <c r="DH16" s="76"/>
      <c r="DI16" s="76"/>
      <c r="DJ16" s="76"/>
      <c r="DK16" s="76"/>
      <c r="DL16" s="76"/>
      <c r="DM16" s="76"/>
      <c r="DN16" s="76"/>
      <c r="DO16" s="76"/>
    </row>
    <row r="17" spans="1:123">
      <c r="A17" s="64">
        <v>8</v>
      </c>
      <c r="B17" s="65" t="str">
        <f t="shared" si="0"/>
        <v>Tue</v>
      </c>
      <c r="C17" s="66" t="str">
        <f t="shared" si="1"/>
        <v>Jan 16, 2018</v>
      </c>
      <c r="D17" s="67">
        <f t="shared" si="2"/>
        <v>0.8125</v>
      </c>
      <c r="E17" s="68" t="str">
        <f>AN32</f>
        <v>Cameroon</v>
      </c>
      <c r="F17" s="56"/>
      <c r="G17" s="57"/>
      <c r="H17" s="74" t="str">
        <f>AN33</f>
        <v>Congo</v>
      </c>
      <c r="I17" s="124" t="str">
        <f>INDEX(T,106,lang)</f>
        <v>Stade Adrar, Agadir</v>
      </c>
      <c r="J17" s="127"/>
      <c r="K17" s="128"/>
      <c r="M17" s="54" t="str">
        <f>INDEX(T,9,lang) &amp; " " &amp; "B"</f>
        <v>Group B</v>
      </c>
      <c r="N17" s="55" t="str">
        <f>INDEX(T,10,lang)</f>
        <v>PL</v>
      </c>
      <c r="O17" s="55" t="str">
        <f>INDEX(T,11,lang)</f>
        <v>W</v>
      </c>
      <c r="P17" s="55" t="str">
        <f>INDEX(T,12,lang)</f>
        <v>DRAW</v>
      </c>
      <c r="Q17" s="55" t="str">
        <f>INDEX(T,13,lang)</f>
        <v>L</v>
      </c>
      <c r="R17" s="55" t="str">
        <f>INDEX(T,14,lang)</f>
        <v>GF - GA</v>
      </c>
      <c r="S17" s="114" t="str">
        <f>INDEX(T,15,lang)</f>
        <v>PNT</v>
      </c>
      <c r="U17" s="107">
        <f>DATE(2018,1,15)+TIME(8,30,0)+gmt_delta</f>
        <v>43115.8125</v>
      </c>
      <c r="V17" s="112" t="str">
        <f t="shared" si="3"/>
        <v/>
      </c>
      <c r="W17" s="112" t="str">
        <f t="shared" si="4"/>
        <v/>
      </c>
      <c r="X17" s="108">
        <f t="shared" si="5"/>
        <v>0</v>
      </c>
      <c r="Y17" s="107">
        <f t="shared" si="6"/>
        <v>0</v>
      </c>
      <c r="Z17" s="107">
        <f t="shared" si="7"/>
        <v>0</v>
      </c>
      <c r="AA17" s="107">
        <f t="shared" si="8"/>
        <v>3</v>
      </c>
      <c r="AB17" s="107">
        <f t="shared" si="9"/>
        <v>2</v>
      </c>
      <c r="AC17" s="107">
        <f t="shared" si="10"/>
        <v>3</v>
      </c>
      <c r="AD17" s="107" t="str">
        <f t="shared" si="11"/>
        <v>323</v>
      </c>
      <c r="AE17" s="107">
        <f t="shared" si="12"/>
        <v>0</v>
      </c>
      <c r="AF17" s="107">
        <f t="shared" si="13"/>
        <v>0</v>
      </c>
      <c r="AG17" s="107">
        <f t="shared" si="14"/>
        <v>0</v>
      </c>
      <c r="AH17" s="107" t="str">
        <f t="shared" si="18"/>
        <v>332</v>
      </c>
      <c r="AI17" s="107">
        <f t="shared" si="15"/>
        <v>0</v>
      </c>
      <c r="AJ17" s="107">
        <f t="shared" si="16"/>
        <v>0</v>
      </c>
      <c r="AK17" s="107">
        <f t="shared" si="17"/>
        <v>0</v>
      </c>
      <c r="AO17" s="107">
        <f t="shared" ref="AO17:AX17" si="25">MAX(AO13:AO16)-MIN(AO13:AO16)+1</f>
        <v>1</v>
      </c>
      <c r="AP17" s="107">
        <f t="shared" si="25"/>
        <v>1</v>
      </c>
      <c r="AQ17" s="107">
        <f t="shared" si="25"/>
        <v>1</v>
      </c>
      <c r="AR17" s="107">
        <f t="shared" si="25"/>
        <v>1</v>
      </c>
      <c r="AS17" s="107">
        <f t="shared" si="25"/>
        <v>1</v>
      </c>
      <c r="AT17" s="107">
        <f>MAX(AT13:AT16)-AT18+1</f>
        <v>1</v>
      </c>
      <c r="AU17" s="107">
        <f>MAX(AU13:AU16)-AU18+1</f>
        <v>1</v>
      </c>
      <c r="AW17" s="107">
        <f t="shared" si="25"/>
        <v>1</v>
      </c>
      <c r="AX17" s="107">
        <f t="shared" si="25"/>
        <v>1</v>
      </c>
      <c r="BD17" s="107">
        <f>MAX(BD13:BD16)-MIN(BD13:BD16)+1</f>
        <v>1</v>
      </c>
      <c r="BE17" s="107">
        <f>MAX(BE13:BE16)-MIN(BE13:BE16)+1</f>
        <v>1</v>
      </c>
      <c r="BF17" s="107">
        <f>MAX(BF13:BF16)-MIN(BF13:BF16)+1</f>
        <v>1</v>
      </c>
      <c r="BG17" s="107">
        <f>MAX(BG13:BG16)-MIN(BG13:BG16)+1</f>
        <v>1</v>
      </c>
      <c r="BH17" s="107">
        <f>MAX(BH13:BH16)-MIN(BH13:BH16)+1</f>
        <v>1</v>
      </c>
      <c r="BI17" s="108" t="str">
        <f>AN19</f>
        <v>Ivory Coast</v>
      </c>
      <c r="BJ17" s="108">
        <v>2</v>
      </c>
      <c r="BK17" s="108">
        <v>1</v>
      </c>
      <c r="BM17" s="107">
        <f>BQ13</f>
        <v>0</v>
      </c>
      <c r="BN17" s="107">
        <f>BQ14</f>
        <v>0</v>
      </c>
      <c r="BO17" s="107">
        <f>BQ15</f>
        <v>0</v>
      </c>
      <c r="BP17" s="107">
        <f>BQ16</f>
        <v>0</v>
      </c>
      <c r="BR17" s="107"/>
      <c r="BS17" s="107"/>
      <c r="BT17" s="107"/>
      <c r="BU17" s="107"/>
      <c r="BX17" s="107"/>
      <c r="BY17" s="107"/>
      <c r="BZ17" s="107"/>
      <c r="CA17" s="107"/>
      <c r="CC17" s="107"/>
      <c r="CD17" s="107"/>
      <c r="CE17" s="107"/>
      <c r="CF17" s="107"/>
      <c r="CH17" s="107"/>
      <c r="CI17" s="107"/>
      <c r="CJ17" s="107"/>
      <c r="CK17" s="107"/>
      <c r="CN17" s="107"/>
      <c r="CO17" s="107"/>
      <c r="CP17" s="107"/>
      <c r="CQ17" s="107"/>
      <c r="CU17" s="107">
        <f>CT13</f>
        <v>1</v>
      </c>
      <c r="CV17" s="107">
        <f>CT14</f>
        <v>1</v>
      </c>
      <c r="CW17" s="107">
        <f>CT15</f>
        <v>1</v>
      </c>
      <c r="CX17" s="107">
        <f>CT16</f>
        <v>1</v>
      </c>
      <c r="CY17" s="110">
        <f t="shared" si="23"/>
        <v>4</v>
      </c>
      <c r="DD17" s="122">
        <v>25</v>
      </c>
      <c r="DE17" s="83" t="str">
        <f>BC13</f>
        <v>1A</v>
      </c>
      <c r="DF17" s="60"/>
      <c r="DG17" s="90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</row>
    <row r="18" spans="1:123">
      <c r="A18" s="64">
        <v>9</v>
      </c>
      <c r="B18" s="65" t="str">
        <f t="shared" si="0"/>
        <v>Wed</v>
      </c>
      <c r="C18" s="66" t="str">
        <f t="shared" si="1"/>
        <v>Jan 17, 2018</v>
      </c>
      <c r="D18" s="67">
        <f t="shared" si="2"/>
        <v>0.6875</v>
      </c>
      <c r="E18" s="68" t="str">
        <f>AN13</f>
        <v>Morocco</v>
      </c>
      <c r="F18" s="56"/>
      <c r="G18" s="57"/>
      <c r="H18" s="74" t="str">
        <f>AN14</f>
        <v>Guinea</v>
      </c>
      <c r="I18" s="124" t="str">
        <f>INDEX(T,103,lang)</f>
        <v>Stade Mohamed V, Casablanca</v>
      </c>
      <c r="J18" s="125"/>
      <c r="K18" s="126"/>
      <c r="M18" s="22" t="str">
        <f>VLOOKUP(1,AM19:AW22,2,FALSE)</f>
        <v>Ivory Coast</v>
      </c>
      <c r="N18" s="27">
        <f>O18+P18+Q18</f>
        <v>0</v>
      </c>
      <c r="O18" s="27">
        <f>VLOOKUP(1,AM19:AW22,3,FALSE)</f>
        <v>0</v>
      </c>
      <c r="P18" s="27">
        <f>VLOOKUP(1,AM19:AW22,4,FALSE)</f>
        <v>0</v>
      </c>
      <c r="Q18" s="27">
        <f>VLOOKUP(1,AM19:AW22,5,FALSE)</f>
        <v>0</v>
      </c>
      <c r="R18" s="27" t="str">
        <f>VLOOKUP(1,AM19:AW22,6,FALSE) &amp; " - " &amp; VLOOKUP(1,AM19:AW22,7,FALSE)</f>
        <v>0 - 0</v>
      </c>
      <c r="S18" s="28">
        <f>O18*3+P18</f>
        <v>0</v>
      </c>
      <c r="U18" s="107">
        <f>DATE(2018,1,16)+TIME(5,30,0)+gmt_delta</f>
        <v>43116.6875</v>
      </c>
      <c r="V18" s="112" t="str">
        <f t="shared" si="3"/>
        <v/>
      </c>
      <c r="W18" s="112" t="str">
        <f t="shared" si="4"/>
        <v/>
      </c>
      <c r="X18" s="108">
        <f t="shared" si="5"/>
        <v>0</v>
      </c>
      <c r="Y18" s="107">
        <f t="shared" si="6"/>
        <v>0</v>
      </c>
      <c r="Z18" s="107">
        <f t="shared" si="7"/>
        <v>0</v>
      </c>
      <c r="AA18" s="107">
        <f t="shared" si="8"/>
        <v>4</v>
      </c>
      <c r="AB18" s="107">
        <f t="shared" si="9"/>
        <v>1</v>
      </c>
      <c r="AC18" s="107">
        <f t="shared" si="10"/>
        <v>4</v>
      </c>
      <c r="AD18" s="107" t="str">
        <f t="shared" si="11"/>
        <v>414</v>
      </c>
      <c r="AE18" s="107">
        <f t="shared" si="12"/>
        <v>0</v>
      </c>
      <c r="AF18" s="107">
        <f t="shared" si="13"/>
        <v>0</v>
      </c>
      <c r="AG18" s="107">
        <f t="shared" si="14"/>
        <v>0</v>
      </c>
      <c r="AH18" s="107" t="str">
        <f t="shared" si="18"/>
        <v>441</v>
      </c>
      <c r="AI18" s="107">
        <f t="shared" si="15"/>
        <v>0</v>
      </c>
      <c r="AJ18" s="107">
        <f t="shared" si="16"/>
        <v>0</v>
      </c>
      <c r="AK18" s="107">
        <f t="shared" si="17"/>
        <v>0</v>
      </c>
      <c r="AT18" s="107">
        <f>MIN(AT13:AT16)</f>
        <v>0</v>
      </c>
      <c r="AU18" s="107">
        <f>MIN(AU13:AU16)</f>
        <v>0</v>
      </c>
      <c r="BI18" s="108" t="str">
        <f t="shared" ref="BI18:BI20" si="26">AN20</f>
        <v>Zambia</v>
      </c>
      <c r="BJ18" s="108">
        <v>2</v>
      </c>
      <c r="BK18" s="108">
        <v>2</v>
      </c>
      <c r="DD18" s="123"/>
      <c r="DE18" s="84" t="str">
        <f>BC20</f>
        <v>2B</v>
      </c>
      <c r="DF18" s="58"/>
      <c r="DG18" s="91"/>
      <c r="DH18" s="79"/>
      <c r="DI18" s="76"/>
      <c r="DJ18" s="76" t="str">
        <f>INDEX(T,24+MONTH(U46),lang) &amp; " " &amp; DAY(U46) &amp; ", " &amp; YEAR(U46) &amp; "   " &amp; TEXT(HOUR(U46), "00") &amp; ":" &amp; TEXT(MINUTE(U46),"00")</f>
        <v>Jan 31, 2018   16:30</v>
      </c>
      <c r="DK18" s="76"/>
      <c r="DL18" s="76"/>
      <c r="DM18" s="85"/>
      <c r="DN18" s="76"/>
      <c r="DO18" s="76"/>
      <c r="DP18" s="76"/>
      <c r="DQ18" s="76"/>
      <c r="DR18" s="76"/>
      <c r="DS18" s="76"/>
    </row>
    <row r="19" spans="1:123">
      <c r="A19" s="64">
        <v>10</v>
      </c>
      <c r="B19" s="65" t="str">
        <f t="shared" si="0"/>
        <v>Wed</v>
      </c>
      <c r="C19" s="66" t="str">
        <f t="shared" si="1"/>
        <v>Jan 17, 2018</v>
      </c>
      <c r="D19" s="67">
        <f t="shared" si="2"/>
        <v>0.8125</v>
      </c>
      <c r="E19" s="68" t="str">
        <f>AN15</f>
        <v>Sudan</v>
      </c>
      <c r="F19" s="56"/>
      <c r="G19" s="57"/>
      <c r="H19" s="74" t="str">
        <f>AN16</f>
        <v>Mauritania</v>
      </c>
      <c r="I19" s="124" t="str">
        <f>INDEX(T,103,lang)</f>
        <v>Stade Mohamed V, Casablanca</v>
      </c>
      <c r="J19" s="125"/>
      <c r="K19" s="126"/>
      <c r="M19" s="23" t="str">
        <f>VLOOKUP(2,AM19:AW22,2,FALSE)</f>
        <v>Uganda</v>
      </c>
      <c r="N19" s="29">
        <f>O19+P19+Q19</f>
        <v>0</v>
      </c>
      <c r="O19" s="29">
        <f>VLOOKUP(2,AM19:AW22,3,FALSE)</f>
        <v>0</v>
      </c>
      <c r="P19" s="29">
        <f>VLOOKUP(2,AM19:AW22,4,FALSE)</f>
        <v>0</v>
      </c>
      <c r="Q19" s="29">
        <f>VLOOKUP(2,AM19:AW22,5,FALSE)</f>
        <v>0</v>
      </c>
      <c r="R19" s="29" t="str">
        <f>VLOOKUP(2,AM19:AW22,6,FALSE) &amp; " - " &amp; VLOOKUP(2,AM19:AW22,7,FALSE)</f>
        <v>0 - 0</v>
      </c>
      <c r="S19" s="30">
        <f>O19*3+P19</f>
        <v>0</v>
      </c>
      <c r="U19" s="107">
        <f>DATE(2018,1,16)+TIME(8,30,0)+gmt_delta</f>
        <v>43116.8125</v>
      </c>
      <c r="V19" s="112" t="str">
        <f t="shared" si="3"/>
        <v/>
      </c>
      <c r="W19" s="112" t="str">
        <f t="shared" si="4"/>
        <v/>
      </c>
      <c r="X19" s="108">
        <f t="shared" si="5"/>
        <v>0</v>
      </c>
      <c r="Y19" s="107">
        <f t="shared" si="6"/>
        <v>0</v>
      </c>
      <c r="Z19" s="107">
        <f t="shared" si="7"/>
        <v>0</v>
      </c>
      <c r="AA19" s="107">
        <f t="shared" si="8"/>
        <v>4</v>
      </c>
      <c r="AB19" s="107">
        <f t="shared" si="9"/>
        <v>2</v>
      </c>
      <c r="AC19" s="107">
        <f t="shared" si="10"/>
        <v>3</v>
      </c>
      <c r="AD19" s="107" t="str">
        <f t="shared" si="11"/>
        <v>423</v>
      </c>
      <c r="AE19" s="107">
        <f t="shared" si="12"/>
        <v>0</v>
      </c>
      <c r="AF19" s="107">
        <f t="shared" si="13"/>
        <v>0</v>
      </c>
      <c r="AG19" s="107">
        <f t="shared" si="14"/>
        <v>0</v>
      </c>
      <c r="AH19" s="107" t="str">
        <f t="shared" si="18"/>
        <v>432</v>
      </c>
      <c r="AI19" s="107">
        <f t="shared" si="15"/>
        <v>0</v>
      </c>
      <c r="AJ19" s="107">
        <f t="shared" si="16"/>
        <v>0</v>
      </c>
      <c r="AK19" s="107">
        <f t="shared" si="17"/>
        <v>0</v>
      </c>
      <c r="AM19" s="107">
        <f>DA19</f>
        <v>1</v>
      </c>
      <c r="AN19" s="108" t="str">
        <f>INDEX(T,44,lang)</f>
        <v>Ivory Coast</v>
      </c>
      <c r="AO19" s="107">
        <f>COUNTIF($V$12:$W$35,"=" &amp; AN19 &amp; "_win")</f>
        <v>0</v>
      </c>
      <c r="AP19" s="107">
        <f>COUNTIF($V$12:$W$35,"=" &amp; AN19 &amp; "_draw")</f>
        <v>0</v>
      </c>
      <c r="AQ19" s="107">
        <f>COUNTIF($V$12:$W$35,"=" &amp; AN19 &amp; "_lose")</f>
        <v>0</v>
      </c>
      <c r="AR19" s="107">
        <f>SUMIF($E$10:$E$33,$AN19,$F$10:$F$33) + SUMIF($H$10:$H$33,$AN19,$G$10:$G$33)</f>
        <v>0</v>
      </c>
      <c r="AS19" s="107">
        <f>SUMIF($E$10:$E$33,$AN19,$G$10:$G$33) + SUMIF($H$10:$H$33,$AN19,$F$10:$F$33)</f>
        <v>0</v>
      </c>
      <c r="AT19" s="107">
        <f>AW19*10000</f>
        <v>0</v>
      </c>
      <c r="AU19" s="107">
        <f>AR19-AS19</f>
        <v>0</v>
      </c>
      <c r="AV19" s="107">
        <f>(AU19-AU24)/AU23</f>
        <v>0</v>
      </c>
      <c r="AW19" s="107">
        <f>AO19*3+AP19</f>
        <v>0</v>
      </c>
      <c r="AX19" s="107">
        <f>BD19/BD23*10+BE19/BE23+BH19/BH23*0.1+BF19/BF23*0.01</f>
        <v>0</v>
      </c>
      <c r="BA19" s="107">
        <f>VLOOKUP(AN19,db_fifarank,2,FALSE)/2000000</f>
        <v>2.7849999999999999E-4</v>
      </c>
      <c r="BB19" s="108">
        <f>10000000*AW19/AW23+100000*AX19/AX23+100*AV19+10*AR19/AR23+1*AX19/AX23+BA19</f>
        <v>2.7849999999999999E-4</v>
      </c>
      <c r="BC19" s="108" t="str">
        <f>IF(SUM(AO19:AQ22)=12,M18,INDEX(T,72,lang))</f>
        <v>1B</v>
      </c>
      <c r="BD19" s="107">
        <f>SUMPRODUCT(($V$12:$V$35=AN19&amp;"_win")*($X$12:$X$35))+SUMPRODUCT(($W$12:$W$35=AN19&amp;"_win")*($X$12:$X$35))</f>
        <v>0</v>
      </c>
      <c r="BE19" s="109">
        <f>SUMPRODUCT(($V$12:$V$35=AN19&amp;"_draw")*($X$12:$X$35))+SUMPRODUCT(($W$12:$W$35=AN19&amp;"_draw")*($X$12:$X$35))</f>
        <v>0</v>
      </c>
      <c r="BF19" s="109">
        <f>SUMPRODUCT(($E$10:$E$33=AN19)*($X$12:$X$35)*($F$10:$F$33))+SUMPRODUCT(($H$10:$H$33=AN19)*($X$12:$X$35)*($G$10:$G$33))</f>
        <v>0</v>
      </c>
      <c r="BG19" s="109">
        <f>SUMPRODUCT(($E$10:$E$33=AN19)*($X$12:$X$35)*($G$10:$G$33))+SUMPRODUCT(($H$10:$H$33=AN19)*($X$12:$X$35)*($F$10:$F$33))</f>
        <v>0</v>
      </c>
      <c r="BH19" s="109">
        <f>BF19-BG19</f>
        <v>0</v>
      </c>
      <c r="BI19" s="108" t="str">
        <f t="shared" si="26"/>
        <v>Uganda</v>
      </c>
      <c r="BJ19" s="108">
        <v>2</v>
      </c>
      <c r="BK19" s="108">
        <v>3</v>
      </c>
      <c r="BN19" s="109">
        <f>IFERROR(VLOOKUP("212",$AD$12:$AG$35,2,FALSE),0) + IFERROR(VLOOKUP("212",$AH$12:$AK$35,2,FALSE),0)</f>
        <v>0</v>
      </c>
      <c r="BO19" s="109">
        <f>IFERROR(VLOOKUP("213",$AD$12:$AG$35,2,FALSE),0) + IFERROR(VLOOKUP("213",$AH$12:$AK$35,2,FALSE),0)</f>
        <v>0</v>
      </c>
      <c r="BP19" s="109">
        <f>IFERROR(VLOOKUP("214",$AD$12:$AG$35,2,FALSE),0) + IFERROR(VLOOKUP("214",$AH$12:$AK$35,2,FALSE),0)</f>
        <v>0</v>
      </c>
      <c r="BQ19" s="110">
        <f>SUM(BM19:BP19)</f>
        <v>0</v>
      </c>
      <c r="BS19" s="109">
        <f>IFERROR(VLOOKUP("212",$AD$12:$AG$35,3,FALSE),0) + IFERROR(VLOOKUP("212",$AH$12:$AK$35,3,FALSE),0)</f>
        <v>0</v>
      </c>
      <c r="BT19" s="109">
        <f>IFERROR(VLOOKUP("213",$AD$12:$AG$35,3,FALSE),0) + IFERROR(VLOOKUP("213",$AH$12:$AK$35,3,FALSE),0)</f>
        <v>0</v>
      </c>
      <c r="BU19" s="109">
        <f>IFERROR(VLOOKUP("214",$AD$12:$AG$35,3,FALSE),0) + IFERROR(VLOOKUP("214",$AH$12:$AK$35,3,FALSE),0)</f>
        <v>0</v>
      </c>
      <c r="BV19" s="110">
        <f>SUM(BR19:BU19)</f>
        <v>0</v>
      </c>
      <c r="BW19" s="110">
        <f>RANK(BV19,BV19:BV22)</f>
        <v>1</v>
      </c>
      <c r="BY19" s="109">
        <f>IFERROR(VLOOKUP("212",$AD$12:$AG$35,4,FALSE),0) + IFERROR(VLOOKUP("212",$AH$12:$AK$35,4,FALSE),0)</f>
        <v>0</v>
      </c>
      <c r="BZ19" s="109">
        <f>IFERROR(VLOOKUP("213",$AD$12:$AG$35,4,FALSE),0) + IFERROR(VLOOKUP("213",$AH$12:$AK$35,4,FALSE),0)</f>
        <v>0</v>
      </c>
      <c r="CA19" s="109">
        <f>IFERROR(VLOOKUP("214",$AD$12:$AG$35,4,FALSE),0) + IFERROR(VLOOKUP("214",$AH$12:$AK$35,4,FALSE),0)</f>
        <v>0</v>
      </c>
      <c r="CB19" s="110">
        <f>SUM(BX19:CA19)</f>
        <v>0</v>
      </c>
      <c r="CD19" s="109">
        <f>IF(BN23=BQ19,BN19,0)</f>
        <v>0</v>
      </c>
      <c r="CE19" s="109">
        <f>IF(BO23=BQ19,BO19,0)</f>
        <v>0</v>
      </c>
      <c r="CF19" s="109">
        <f>IF(BP23=BQ19,BP19,0)</f>
        <v>0</v>
      </c>
      <c r="CG19" s="110">
        <f>SUM(CC19:CF19)</f>
        <v>0</v>
      </c>
      <c r="CI19" s="109">
        <f>IF(BN23=BQ19,BS19,0)</f>
        <v>0</v>
      </c>
      <c r="CJ19" s="109">
        <f>IF(BO23=BQ19,BT19,0)</f>
        <v>0</v>
      </c>
      <c r="CK19" s="109">
        <f>IF(BP23=BQ19,BU19,0)</f>
        <v>0</v>
      </c>
      <c r="CL19" s="110">
        <f>SUM(CH19:CK19)</f>
        <v>0</v>
      </c>
      <c r="CM19" s="110">
        <f>RANK(CL19,CL19:CL22)</f>
        <v>1</v>
      </c>
      <c r="CO19" s="109">
        <f>IF(BN23=BQ19,BY19,0)</f>
        <v>0</v>
      </c>
      <c r="CP19" s="109">
        <f>IF(BO23=BQ19,BZ19,0)</f>
        <v>0</v>
      </c>
      <c r="CQ19" s="109">
        <f>IF(BP23=BQ19,CA19,0)</f>
        <v>0</v>
      </c>
      <c r="CR19" s="110">
        <f>SUM(CN19:CQ19)</f>
        <v>0</v>
      </c>
      <c r="CS19" s="110">
        <f>BQ19*10000+CG19*100+(5-CM19)+CR19/10</f>
        <v>4</v>
      </c>
      <c r="CT19" s="110">
        <f>RANK(CS19,CS19:CS22)</f>
        <v>1</v>
      </c>
      <c r="CV19" s="109">
        <f>IF(CV23=CT19,BN19,0)</f>
        <v>0</v>
      </c>
      <c r="CW19" s="109">
        <f>IF(CW23=CT19,BO19,0)</f>
        <v>0</v>
      </c>
      <c r="CX19" s="109">
        <f>IF(CX23=CT19,BP19,0)</f>
        <v>0</v>
      </c>
      <c r="CY19" s="110">
        <f>SUM(CU19:CX19)</f>
        <v>0</v>
      </c>
      <c r="CZ19" s="110">
        <f>(5-CT19)*10000+CY19*100+(5-BW19)+CB19/10+BA19/100</f>
        <v>40004.000002784996</v>
      </c>
      <c r="DA19" s="110">
        <f>RANK(CZ19,CZ19:CZ22)</f>
        <v>1</v>
      </c>
      <c r="DD19" s="76"/>
      <c r="DE19" s="76"/>
      <c r="DF19" s="76"/>
      <c r="DG19" s="76"/>
      <c r="DI19" s="101"/>
      <c r="DJ19" s="122">
        <v>29</v>
      </c>
      <c r="DK19" s="83" t="str">
        <f>W39</f>
        <v>Winner QF1</v>
      </c>
      <c r="DL19" s="60"/>
      <c r="DM19" s="90"/>
      <c r="DN19" s="76"/>
      <c r="DO19" s="76"/>
      <c r="DP19" s="76"/>
      <c r="DQ19" s="76"/>
      <c r="DR19" s="76"/>
      <c r="DS19" s="76"/>
    </row>
    <row r="20" spans="1:123">
      <c r="A20" s="64">
        <v>11</v>
      </c>
      <c r="B20" s="65" t="str">
        <f t="shared" si="0"/>
        <v>Thu</v>
      </c>
      <c r="C20" s="66" t="str">
        <f t="shared" si="1"/>
        <v>Jan 18, 2018</v>
      </c>
      <c r="D20" s="67">
        <f t="shared" si="2"/>
        <v>0.6875</v>
      </c>
      <c r="E20" s="68" t="str">
        <f>AN19</f>
        <v>Ivory Coast</v>
      </c>
      <c r="F20" s="56"/>
      <c r="G20" s="57"/>
      <c r="H20" s="74" t="str">
        <f>AN20</f>
        <v>Zambia</v>
      </c>
      <c r="I20" s="124" t="str">
        <f>INDEX(T,104,lang)</f>
        <v>Stade de Marrakech, Marrakech</v>
      </c>
      <c r="J20" s="125"/>
      <c r="K20" s="126"/>
      <c r="M20" s="23" t="str">
        <f>VLOOKUP(3,AM19:AW22,2,FALSE)</f>
        <v>Zambia</v>
      </c>
      <c r="N20" s="29">
        <f>O20+P20+Q20</f>
        <v>0</v>
      </c>
      <c r="O20" s="29">
        <f>VLOOKUP(3,AM19:AW22,3,FALSE)</f>
        <v>0</v>
      </c>
      <c r="P20" s="29">
        <f>VLOOKUP(3,AM19:AW22,4,FALSE)</f>
        <v>0</v>
      </c>
      <c r="Q20" s="29">
        <f>VLOOKUP(3,AM19:AW22,5,FALSE)</f>
        <v>0</v>
      </c>
      <c r="R20" s="29" t="str">
        <f>VLOOKUP(3,AM19:AW22,6,FALSE) &amp; " - " &amp; VLOOKUP(3,AM19:AW22,7,FALSE)</f>
        <v>0 - 0</v>
      </c>
      <c r="S20" s="30">
        <f>O20*3+P20</f>
        <v>0</v>
      </c>
      <c r="U20" s="107">
        <f>DATE(2018,1,17)+TIME(5,30,0)+gmt_delta</f>
        <v>43117.6875</v>
      </c>
      <c r="V20" s="112" t="str">
        <f t="shared" si="3"/>
        <v/>
      </c>
      <c r="W20" s="112" t="str">
        <f t="shared" si="4"/>
        <v/>
      </c>
      <c r="X20" s="108">
        <f t="shared" si="5"/>
        <v>0</v>
      </c>
      <c r="Y20" s="107">
        <f t="shared" si="6"/>
        <v>0</v>
      </c>
      <c r="Z20" s="107">
        <f t="shared" si="7"/>
        <v>0</v>
      </c>
      <c r="AA20" s="107">
        <f t="shared" si="8"/>
        <v>1</v>
      </c>
      <c r="AB20" s="107">
        <f t="shared" si="9"/>
        <v>1</v>
      </c>
      <c r="AC20" s="107">
        <f t="shared" si="10"/>
        <v>2</v>
      </c>
      <c r="AD20" s="107" t="str">
        <f t="shared" si="11"/>
        <v>112</v>
      </c>
      <c r="AE20" s="107">
        <f t="shared" si="12"/>
        <v>0</v>
      </c>
      <c r="AF20" s="107">
        <f t="shared" si="13"/>
        <v>0</v>
      </c>
      <c r="AG20" s="107">
        <f t="shared" si="14"/>
        <v>0</v>
      </c>
      <c r="AH20" s="107" t="str">
        <f t="shared" si="18"/>
        <v>121</v>
      </c>
      <c r="AI20" s="107">
        <f t="shared" si="15"/>
        <v>0</v>
      </c>
      <c r="AJ20" s="107">
        <f t="shared" si="16"/>
        <v>0</v>
      </c>
      <c r="AK20" s="107">
        <f t="shared" si="17"/>
        <v>0</v>
      </c>
      <c r="AM20" s="107">
        <f t="shared" ref="AM20:AM22" si="27">DA20</f>
        <v>3</v>
      </c>
      <c r="AN20" s="108" t="str">
        <f>INDEX(T,53,lang)</f>
        <v>Zambia</v>
      </c>
      <c r="AO20" s="107">
        <f>COUNTIF($V$12:$W$35,"=" &amp; AN20 &amp; "_win")</f>
        <v>0</v>
      </c>
      <c r="AP20" s="107">
        <f>COUNTIF($V$12:$W$35,"=" &amp; AN20 &amp; "_draw")</f>
        <v>0</v>
      </c>
      <c r="AQ20" s="107">
        <f>COUNTIF($V$12:$W$35,"=" &amp; AN20 &amp; "_lose")</f>
        <v>0</v>
      </c>
      <c r="AR20" s="107">
        <f>SUMIF($E$10:$E$33,$AN20,$F$10:$F$33) + SUMIF($H$10:$H$33,$AN20,$G$10:$G$33)</f>
        <v>0</v>
      </c>
      <c r="AS20" s="107">
        <f>SUMIF($E$10:$E$33,$AN20,$G$10:$G$33) + SUMIF($H$10:$H$33,$AN20,$F$10:$F$33)</f>
        <v>0</v>
      </c>
      <c r="AT20" s="107">
        <f>AW20*10000</f>
        <v>0</v>
      </c>
      <c r="AU20" s="107">
        <f>AR20-AS20</f>
        <v>0</v>
      </c>
      <c r="AV20" s="107">
        <f>(AU20-AU24)/AU23</f>
        <v>0</v>
      </c>
      <c r="AW20" s="107">
        <f>AO20*3+AP20</f>
        <v>0</v>
      </c>
      <c r="AX20" s="107">
        <f>BD20/BD23*10+BE20/BE23+BH20/BH23*0.1+BF20/BF23*0.01</f>
        <v>0</v>
      </c>
      <c r="BA20" s="107">
        <f>VLOOKUP(AN20,db_fifarank,2,FALSE)/2000000</f>
        <v>2.2450000000000001E-4</v>
      </c>
      <c r="BB20" s="108">
        <f>10000000*AW20/AW23+100000*AX20/AX23+100*AV20+10*AR20/AR23+1*AX20/AX23+BA20</f>
        <v>2.2450000000000001E-4</v>
      </c>
      <c r="BC20" s="108" t="str">
        <f>IF(SUM(AO19:AQ22)=12,M19,INDEX(T,73,lang))</f>
        <v>2B</v>
      </c>
      <c r="BD20" s="107">
        <f>SUMPRODUCT(($V$12:$V$35=AN20&amp;"_win")*($X$12:$X$35))+SUMPRODUCT(($W$12:$W$35=AN20&amp;"_win")*($X$12:$X$35))</f>
        <v>0</v>
      </c>
      <c r="BE20" s="109">
        <f>SUMPRODUCT(($V$12:$V$35=AN20&amp;"_draw")*($X$12:$X$35))+SUMPRODUCT(($W$12:$W$35=AN20&amp;"_draw")*($X$12:$X$35))</f>
        <v>0</v>
      </c>
      <c r="BF20" s="109">
        <f>SUMPRODUCT(($E$10:$E$33=AN20)*($X$12:$X$35)*($F$10:$F$33))+SUMPRODUCT(($H$10:$H$33=AN20)*($X$12:$X$35)*($G$10:$G$33))</f>
        <v>0</v>
      </c>
      <c r="BG20" s="109">
        <f>SUMPRODUCT(($E$10:$E$33=AN20)*($X$12:$X$35)*($G$10:$G$33))+SUMPRODUCT(($H$10:$H$33=AN20)*($X$12:$X$35)*($F$10:$F$33))</f>
        <v>0</v>
      </c>
      <c r="BH20" s="109">
        <f>BF20-BG20</f>
        <v>0</v>
      </c>
      <c r="BI20" s="108" t="str">
        <f t="shared" si="26"/>
        <v>Namibia</v>
      </c>
      <c r="BJ20" s="108">
        <v>2</v>
      </c>
      <c r="BK20" s="108">
        <v>4</v>
      </c>
      <c r="BM20" s="109">
        <f>IFERROR(VLOOKUP("221",$AD$12:$AG$35,2,FALSE),0) + IFERROR(VLOOKUP("221",$AH$12:$AK$35,2,FALSE),0)</f>
        <v>0</v>
      </c>
      <c r="BO20" s="109">
        <f>IFERROR(VLOOKUP("223",$AD$12:$AG$35,2,FALSE),0) + IFERROR(VLOOKUP("223",$AH$12:$AK$35,2,FALSE),0)</f>
        <v>0</v>
      </c>
      <c r="BP20" s="109">
        <f>IFERROR(VLOOKUP("224",$AD$12:$AG$35,2,FALSE),0) + IFERROR(VLOOKUP("224",$AH$12:$AK$35,2,FALSE),0)</f>
        <v>0</v>
      </c>
      <c r="BQ20" s="110">
        <f>SUM(BM20:BP20)</f>
        <v>0</v>
      </c>
      <c r="BR20" s="109">
        <f>IFERROR(VLOOKUP("221",$AD$12:$AG$35,3,FALSE),0) + IFERROR(VLOOKUP("221",$AH$12:$AK$35,3,FALSE),0)</f>
        <v>0</v>
      </c>
      <c r="BT20" s="109">
        <f>IFERROR(VLOOKUP("223",$AD$12:$AG$35,3,FALSE),0) + IFERROR(VLOOKUP("223",$AH$12:$AK$35,3,FALSE),0)</f>
        <v>0</v>
      </c>
      <c r="BU20" s="109">
        <f>IFERROR(VLOOKUP("224",$AD$12:$AG$35,3,FALSE),0) + IFERROR(VLOOKUP("224",$AH$12:$AK$35,3,FALSE),0)</f>
        <v>0</v>
      </c>
      <c r="BV20" s="110">
        <f>SUM(BR20:BU20)</f>
        <v>0</v>
      </c>
      <c r="BW20" s="110">
        <f>RANK(BV20,BV19:BV22)</f>
        <v>1</v>
      </c>
      <c r="BX20" s="109">
        <f>IFERROR(VLOOKUP("221",$AD$12:$AG$35,4,FALSE),0) + IFERROR(VLOOKUP("221",$AH$12:$AK$35,4,FALSE),0)</f>
        <v>0</v>
      </c>
      <c r="BZ20" s="109">
        <f>IFERROR(VLOOKUP("223",$AD$12:$AG$35,4,FALSE),0) + IFERROR(VLOOKUP("223",$AH$12:$AK$35,4,FALSE),0)</f>
        <v>0</v>
      </c>
      <c r="CA20" s="109">
        <f>IFERROR(VLOOKUP("224",$AD$12:$AG$35,4,FALSE),0) + IFERROR(VLOOKUP("224",$AH$12:$AK$35,4,FALSE),0)</f>
        <v>0</v>
      </c>
      <c r="CB20" s="110">
        <f>SUM(BX20:CA20)</f>
        <v>0</v>
      </c>
      <c r="CC20" s="109">
        <f>IF(BM23=BQ20,BM20,0)</f>
        <v>0</v>
      </c>
      <c r="CE20" s="109">
        <f>IF(BO23=BQ20,BO20,0)</f>
        <v>0</v>
      </c>
      <c r="CF20" s="109">
        <f>IF(BP23=BQ20,BP20,0)</f>
        <v>0</v>
      </c>
      <c r="CG20" s="110">
        <f>SUM(CC20:CF20)</f>
        <v>0</v>
      </c>
      <c r="CH20" s="109">
        <f>IF(BM23=BQ20,BR20,0)</f>
        <v>0</v>
      </c>
      <c r="CJ20" s="109">
        <f>IF(BO23=BQ20,BT20,0)</f>
        <v>0</v>
      </c>
      <c r="CK20" s="109">
        <f>IF(BP23=BQ20,BU20,0)</f>
        <v>0</v>
      </c>
      <c r="CL20" s="110">
        <f>SUM(CH20:CK20)</f>
        <v>0</v>
      </c>
      <c r="CM20" s="110">
        <f>RANK(CL20,CL19:CL22)</f>
        <v>1</v>
      </c>
      <c r="CN20" s="109">
        <f>IF(BM23=BQ20,BX20,0)</f>
        <v>0</v>
      </c>
      <c r="CP20" s="109">
        <f>IF(BO23=BQ20,BZ20,0)</f>
        <v>0</v>
      </c>
      <c r="CQ20" s="109">
        <f>IF(BP23=BQ20,CA20,0)</f>
        <v>0</v>
      </c>
      <c r="CR20" s="110">
        <f>SUM(CN20:CQ20)</f>
        <v>0</v>
      </c>
      <c r="CS20" s="110">
        <f t="shared" ref="CS20:CS22" si="28">BQ20*10000+CG20*100+(5-CM20)+CR20/10</f>
        <v>4</v>
      </c>
      <c r="CT20" s="110">
        <f>RANK(CS20,CS19:CS22)</f>
        <v>1</v>
      </c>
      <c r="CU20" s="109">
        <f>IF(CU23=CT20,BM20,0)</f>
        <v>0</v>
      </c>
      <c r="CW20" s="109">
        <f>IF(CW23=CT20,BO20,0)</f>
        <v>0</v>
      </c>
      <c r="CX20" s="109">
        <f>IF(CX23=CT20,BP20,0)</f>
        <v>0</v>
      </c>
      <c r="CY20" s="110">
        <f t="shared" ref="CY20:CY23" si="29">SUM(CU20:CX20)</f>
        <v>0</v>
      </c>
      <c r="CZ20" s="110">
        <f t="shared" ref="CZ20:CZ22" si="30">(5-CT20)*10000+CY20*100+(5-BW20)+CB20/10+BA20/100</f>
        <v>40004.000002244997</v>
      </c>
      <c r="DA20" s="110">
        <f>RANK(CZ20,CZ19:CZ22)</f>
        <v>3</v>
      </c>
      <c r="DD20" s="76" t="str">
        <f>INDEX(T,24+MONTH(U40),lang) &amp; " " &amp; DAY(U40) &amp; ", " &amp; YEAR(U40) &amp; "   " &amp; TEXT(HOUR(U40), "00") &amp; ":" &amp; TEXT(MINUTE(U40),"00")</f>
        <v>Jan 28, 2018   16:30</v>
      </c>
      <c r="DE20" s="76"/>
      <c r="DF20" s="76"/>
      <c r="DG20" s="85"/>
      <c r="DI20" s="78"/>
      <c r="DJ20" s="123"/>
      <c r="DK20" s="84" t="str">
        <f>W42</f>
        <v>Winner QF4</v>
      </c>
      <c r="DL20" s="58"/>
      <c r="DM20" s="91"/>
      <c r="DN20" s="79"/>
      <c r="DO20" s="76"/>
      <c r="DP20" s="76"/>
      <c r="DQ20" s="76"/>
      <c r="DR20" s="76"/>
      <c r="DS20" s="76"/>
    </row>
    <row r="21" spans="1:123">
      <c r="A21" s="64">
        <v>12</v>
      </c>
      <c r="B21" s="65" t="str">
        <f t="shared" si="0"/>
        <v>Thu</v>
      </c>
      <c r="C21" s="66" t="str">
        <f t="shared" si="1"/>
        <v>Jan 18, 2018</v>
      </c>
      <c r="D21" s="67">
        <f t="shared" si="2"/>
        <v>0.8125</v>
      </c>
      <c r="E21" s="68" t="str">
        <f>AN21</f>
        <v>Uganda</v>
      </c>
      <c r="F21" s="56"/>
      <c r="G21" s="57"/>
      <c r="H21" s="74" t="str">
        <f>AN22</f>
        <v>Namibia</v>
      </c>
      <c r="I21" s="124" t="str">
        <f>INDEX(T,104,lang)</f>
        <v>Stade de Marrakech, Marrakech</v>
      </c>
      <c r="J21" s="125"/>
      <c r="K21" s="126"/>
      <c r="M21" s="24" t="str">
        <f>VLOOKUP(4,AM19:AW22,2,FALSE)</f>
        <v>Namibia</v>
      </c>
      <c r="N21" s="31">
        <f>O21+P21+Q21</f>
        <v>0</v>
      </c>
      <c r="O21" s="31">
        <f>VLOOKUP(4,AM19:AW22,3,FALSE)</f>
        <v>0</v>
      </c>
      <c r="P21" s="31">
        <f>VLOOKUP(4,AM19:AW22,4,FALSE)</f>
        <v>0</v>
      </c>
      <c r="Q21" s="31">
        <f>VLOOKUP(4,AM19:AW22,5,FALSE)</f>
        <v>0</v>
      </c>
      <c r="R21" s="31" t="str">
        <f>VLOOKUP(4,AM19:AW22,6,FALSE) &amp; " - " &amp; VLOOKUP(4,AM19:AW22,7,FALSE)</f>
        <v>0 - 0</v>
      </c>
      <c r="S21" s="32">
        <f>O21*3+P21</f>
        <v>0</v>
      </c>
      <c r="U21" s="107">
        <f>DATE(2018,1,17)+TIME(8,30,0)+gmt_delta</f>
        <v>43117.8125</v>
      </c>
      <c r="V21" s="112" t="str">
        <f t="shared" si="3"/>
        <v/>
      </c>
      <c r="W21" s="112" t="str">
        <f t="shared" si="4"/>
        <v/>
      </c>
      <c r="X21" s="108">
        <f t="shared" si="5"/>
        <v>0</v>
      </c>
      <c r="Y21" s="107">
        <f t="shared" si="6"/>
        <v>0</v>
      </c>
      <c r="Z21" s="107">
        <f t="shared" si="7"/>
        <v>0</v>
      </c>
      <c r="AA21" s="107">
        <f t="shared" si="8"/>
        <v>1</v>
      </c>
      <c r="AB21" s="107">
        <f t="shared" si="9"/>
        <v>3</v>
      </c>
      <c r="AC21" s="107">
        <f t="shared" si="10"/>
        <v>4</v>
      </c>
      <c r="AD21" s="107" t="str">
        <f t="shared" si="11"/>
        <v>134</v>
      </c>
      <c r="AE21" s="107">
        <f t="shared" si="12"/>
        <v>0</v>
      </c>
      <c r="AF21" s="107">
        <f t="shared" si="13"/>
        <v>0</v>
      </c>
      <c r="AG21" s="107">
        <f t="shared" si="14"/>
        <v>0</v>
      </c>
      <c r="AH21" s="107" t="str">
        <f t="shared" si="18"/>
        <v>143</v>
      </c>
      <c r="AI21" s="107">
        <f t="shared" si="15"/>
        <v>0</v>
      </c>
      <c r="AJ21" s="107">
        <f t="shared" si="16"/>
        <v>0</v>
      </c>
      <c r="AK21" s="107">
        <f t="shared" si="17"/>
        <v>0</v>
      </c>
      <c r="AM21" s="107">
        <f t="shared" si="27"/>
        <v>2</v>
      </c>
      <c r="AN21" s="108" t="str">
        <f>INDEX(T,52,lang)</f>
        <v>Uganda</v>
      </c>
      <c r="AO21" s="107">
        <f>COUNTIF($V$12:$W$35,"=" &amp; AN21 &amp; "_win")</f>
        <v>0</v>
      </c>
      <c r="AP21" s="107">
        <f>COUNTIF($V$12:$W$35,"=" &amp; AN21 &amp; "_draw")</f>
        <v>0</v>
      </c>
      <c r="AQ21" s="107">
        <f>COUNTIF($V$12:$W$35,"=" &amp; AN21 &amp; "_lose")</f>
        <v>0</v>
      </c>
      <c r="AR21" s="107">
        <f>SUMIF($E$10:$E$33,$AN21,$F$10:$F$33) + SUMIF($H$10:$H$33,$AN21,$G$10:$G$33)</f>
        <v>0</v>
      </c>
      <c r="AS21" s="107">
        <f>SUMIF($E$10:$E$33,$AN21,$G$10:$G$33) + SUMIF($H$10:$H$33,$AN21,$F$10:$F$33)</f>
        <v>0</v>
      </c>
      <c r="AT21" s="107">
        <f>AW21*10000</f>
        <v>0</v>
      </c>
      <c r="AU21" s="107">
        <f>AR21-AS21</f>
        <v>0</v>
      </c>
      <c r="AV21" s="107">
        <f>(AU21-AU24)/AU23</f>
        <v>0</v>
      </c>
      <c r="AW21" s="107">
        <f>AO21*3+AP21</f>
        <v>0</v>
      </c>
      <c r="AX21" s="107">
        <f>BD21/BD23*10+BE21/BE23+BH21/BH23*0.1+BF21/BF23*0.01</f>
        <v>0</v>
      </c>
      <c r="BA21" s="107">
        <f>VLOOKUP(AN21,db_fifarank,2,FALSE)/2000000</f>
        <v>2.3550000000000001E-4</v>
      </c>
      <c r="BB21" s="108">
        <f>10000000*AW21/AW23+100000*AX21/AX23+100*AV21+10*AR21/AR23+1*AX21/AX23+BA21</f>
        <v>2.3550000000000001E-4</v>
      </c>
      <c r="BC21" s="108" t="str">
        <f>IF(SUM(AO19:AQ22)&gt;0,M20,"3B")</f>
        <v>3B</v>
      </c>
      <c r="BD21" s="107">
        <f>SUMPRODUCT(($V$12:$V$35=AN21&amp;"_win")*($X$12:$X$35))+SUMPRODUCT(($W$12:$W$35=AN21&amp;"_win")*($X$12:$X$35))</f>
        <v>0</v>
      </c>
      <c r="BE21" s="109">
        <f>SUMPRODUCT(($V$12:$V$35=AN21&amp;"_draw")*($X$12:$X$35))+SUMPRODUCT(($W$12:$W$35=AN21&amp;"_draw")*($X$12:$X$35))</f>
        <v>0</v>
      </c>
      <c r="BF21" s="109">
        <f>SUMPRODUCT(($E$10:$E$33=AN21)*($X$12:$X$35)*($F$10:$F$33))+SUMPRODUCT(($H$10:$H$33=AN21)*($X$12:$X$35)*($G$10:$G$33))</f>
        <v>0</v>
      </c>
      <c r="BG21" s="109">
        <f>SUMPRODUCT(($E$10:$E$33=AN21)*($X$12:$X$35)*($G$10:$G$33))+SUMPRODUCT(($H$10:$H$33=AN21)*($X$12:$X$35)*($F$10:$F$33))</f>
        <v>0</v>
      </c>
      <c r="BH21" s="109">
        <f>BF21-BG21</f>
        <v>0</v>
      </c>
      <c r="BI21" s="108" t="str">
        <f>AN25</f>
        <v>Libya</v>
      </c>
      <c r="BJ21" s="108">
        <v>3</v>
      </c>
      <c r="BK21" s="108">
        <v>1</v>
      </c>
      <c r="BM21" s="109">
        <f>IFERROR(VLOOKUP("231",$AD$12:$AG$35,2,FALSE),0) + IFERROR(VLOOKUP("231",$AH$12:$AK$35,2,FALSE),0)</f>
        <v>0</v>
      </c>
      <c r="BN21" s="109">
        <f>IFERROR(VLOOKUP("232",$AD$12:$AG$35,2,FALSE),0) + IFERROR(VLOOKUP("232",$AH$12:$AK$35,2,FALSE),0)</f>
        <v>0</v>
      </c>
      <c r="BP21" s="109">
        <f>IFERROR(VLOOKUP("234",$AD$12:$AG$35,2,FALSE),0) + IFERROR(VLOOKUP("234",$AH$12:$AK$35,2,FALSE),0)</f>
        <v>0</v>
      </c>
      <c r="BQ21" s="110">
        <f>SUM(BM21:BP21)</f>
        <v>0</v>
      </c>
      <c r="BR21" s="109">
        <f>IFERROR(VLOOKUP("231",$AD$12:$AG$35,3,FALSE),0) + IFERROR(VLOOKUP("231",$AH$12:$AK$35,3,FALSE),0)</f>
        <v>0</v>
      </c>
      <c r="BS21" s="109">
        <f>IFERROR(VLOOKUP("232",$AD$12:$AG$35,3,FALSE),0) + IFERROR(VLOOKUP("232",$AH$12:$AK$35,3,FALSE),0)</f>
        <v>0</v>
      </c>
      <c r="BU21" s="109">
        <f>IFERROR(VLOOKUP("234",$AD$12:$AG$35,3,FALSE),0) + IFERROR(VLOOKUP("234",$AH$12:$AK$35,3,FALSE),0)</f>
        <v>0</v>
      </c>
      <c r="BV21" s="110">
        <f>SUM(BR21:BU21)</f>
        <v>0</v>
      </c>
      <c r="BW21" s="110">
        <f>RANK(BV21,BV19:BV22)</f>
        <v>1</v>
      </c>
      <c r="BX21" s="109">
        <f>IFERROR(VLOOKUP("231",$AD$12:$AG$35,4,FALSE),0) + IFERROR(VLOOKUP("231",$AH$12:$AK$35,4,FALSE),0)</f>
        <v>0</v>
      </c>
      <c r="BY21" s="109">
        <f>IFERROR(VLOOKUP("232",$AD$12:$AG$35,4,FALSE),0) + IFERROR(VLOOKUP("232",$AH$12:$AK$35,4,FALSE),0)</f>
        <v>0</v>
      </c>
      <c r="CA21" s="109">
        <f>IFERROR(VLOOKUP("234",$AD$12:$AG$35,4,FALSE),0) + IFERROR(VLOOKUP("234",$AH$12:$AK$35,4,FALSE),0)</f>
        <v>0</v>
      </c>
      <c r="CB21" s="110">
        <f>SUM(BX21:CA21)</f>
        <v>0</v>
      </c>
      <c r="CC21" s="109">
        <f>IF(BM23=BQ21,BM21,0)</f>
        <v>0</v>
      </c>
      <c r="CD21" s="109">
        <f>IF(BN23=BQ21,BN21,0)</f>
        <v>0</v>
      </c>
      <c r="CF21" s="109">
        <f>IF(BP23=BQ21,BP21,0)</f>
        <v>0</v>
      </c>
      <c r="CG21" s="110">
        <f>SUM(CC21:CF21)</f>
        <v>0</v>
      </c>
      <c r="CH21" s="109">
        <f>IF(BM23=BQ21,BR21,0)</f>
        <v>0</v>
      </c>
      <c r="CI21" s="109">
        <f>IF(BN23=BQ21,BS21,0)</f>
        <v>0</v>
      </c>
      <c r="CK21" s="109">
        <f>IF(BP23=BQ21,BU21,0)</f>
        <v>0</v>
      </c>
      <c r="CL21" s="110">
        <f>SUM(CH21:CK21)</f>
        <v>0</v>
      </c>
      <c r="CM21" s="110">
        <f>RANK(CL21,CL19:CL22)</f>
        <v>1</v>
      </c>
      <c r="CN21" s="109">
        <f>IF(BM23=BQ21,BX21,0)</f>
        <v>0</v>
      </c>
      <c r="CO21" s="109">
        <f>IF(BN23=BQ21,BY21,0)</f>
        <v>0</v>
      </c>
      <c r="CQ21" s="109">
        <f>IF(BP23=BQ21,CA21,0)</f>
        <v>0</v>
      </c>
      <c r="CR21" s="110">
        <f>SUM(CN21:CQ21)</f>
        <v>0</v>
      </c>
      <c r="CS21" s="110">
        <f t="shared" si="28"/>
        <v>4</v>
      </c>
      <c r="CT21" s="110">
        <f>RANK(CS21,CS19:CS22)</f>
        <v>1</v>
      </c>
      <c r="CU21" s="109">
        <f>IF(CU23=CT21,BM21,0)</f>
        <v>0</v>
      </c>
      <c r="CV21" s="109">
        <f>IF(CV23=CT21,BN21,0)</f>
        <v>0</v>
      </c>
      <c r="CX21" s="109">
        <f>IF(CX23=CT21,BP21,0)</f>
        <v>0</v>
      </c>
      <c r="CY21" s="110">
        <f t="shared" si="29"/>
        <v>0</v>
      </c>
      <c r="CZ21" s="110">
        <f t="shared" si="30"/>
        <v>40004.000002355002</v>
      </c>
      <c r="DA21" s="110">
        <f>RANK(CZ21,CZ19:CZ22)</f>
        <v>2</v>
      </c>
      <c r="DD21" s="122">
        <v>28</v>
      </c>
      <c r="DE21" s="83" t="str">
        <f>BC31</f>
        <v>1D</v>
      </c>
      <c r="DF21" s="60"/>
      <c r="DG21" s="90"/>
      <c r="DH21" s="80"/>
      <c r="DO21" s="82"/>
      <c r="DP21" s="76"/>
      <c r="DQ21" s="76"/>
      <c r="DR21" s="76"/>
      <c r="DS21" s="76"/>
    </row>
    <row r="22" spans="1:123">
      <c r="A22" s="64">
        <v>13</v>
      </c>
      <c r="B22" s="65" t="str">
        <f t="shared" si="0"/>
        <v>Fri</v>
      </c>
      <c r="C22" s="66" t="str">
        <f t="shared" si="1"/>
        <v>Jan 19, 2018</v>
      </c>
      <c r="D22" s="67">
        <f t="shared" si="2"/>
        <v>0.6875</v>
      </c>
      <c r="E22" s="68" t="str">
        <f>AN25</f>
        <v>Libya</v>
      </c>
      <c r="F22" s="56"/>
      <c r="G22" s="57"/>
      <c r="H22" s="74" t="str">
        <f>AN26</f>
        <v>Nigeria</v>
      </c>
      <c r="I22" s="124" t="str">
        <f>INDEX(T,105,lang)</f>
        <v>Stade Ibn Batouta, Tangier</v>
      </c>
      <c r="J22" s="127"/>
      <c r="K22" s="128"/>
      <c r="M22" s="33"/>
      <c r="N22" s="34"/>
      <c r="O22" s="34"/>
      <c r="P22" s="34"/>
      <c r="Q22" s="34"/>
      <c r="R22" s="34"/>
      <c r="S22" s="34"/>
      <c r="U22" s="107">
        <f>DATE(2018,1,18)+TIME(5,30,0)+gmt_delta</f>
        <v>43118.6875</v>
      </c>
      <c r="V22" s="112" t="str">
        <f t="shared" si="3"/>
        <v/>
      </c>
      <c r="W22" s="112" t="str">
        <f t="shared" si="4"/>
        <v/>
      </c>
      <c r="X22" s="108">
        <f t="shared" si="5"/>
        <v>0</v>
      </c>
      <c r="Y22" s="107">
        <f t="shared" si="6"/>
        <v>0</v>
      </c>
      <c r="Z22" s="107">
        <f t="shared" si="7"/>
        <v>0</v>
      </c>
      <c r="AA22" s="107">
        <f t="shared" si="8"/>
        <v>2</v>
      </c>
      <c r="AB22" s="107">
        <f t="shared" si="9"/>
        <v>1</v>
      </c>
      <c r="AC22" s="107">
        <f t="shared" si="10"/>
        <v>2</v>
      </c>
      <c r="AD22" s="107" t="str">
        <f t="shared" si="11"/>
        <v>212</v>
      </c>
      <c r="AE22" s="107">
        <f t="shared" si="12"/>
        <v>0</v>
      </c>
      <c r="AF22" s="107">
        <f t="shared" si="13"/>
        <v>0</v>
      </c>
      <c r="AG22" s="107">
        <f t="shared" si="14"/>
        <v>0</v>
      </c>
      <c r="AH22" s="107" t="str">
        <f t="shared" si="18"/>
        <v>221</v>
      </c>
      <c r="AI22" s="107">
        <f t="shared" si="15"/>
        <v>0</v>
      </c>
      <c r="AJ22" s="107">
        <f t="shared" si="16"/>
        <v>0</v>
      </c>
      <c r="AK22" s="107">
        <f t="shared" si="17"/>
        <v>0</v>
      </c>
      <c r="AM22" s="107">
        <f t="shared" si="27"/>
        <v>4</v>
      </c>
      <c r="AN22" s="108" t="str">
        <f>INDEX(T,48,lang)</f>
        <v>Namibia</v>
      </c>
      <c r="AO22" s="107">
        <f>COUNTIF($V$12:$W$35,"=" &amp; AN22 &amp; "_win")</f>
        <v>0</v>
      </c>
      <c r="AP22" s="107">
        <f>COUNTIF($V$12:$W$35,"=" &amp; AN22 &amp; "_draw")</f>
        <v>0</v>
      </c>
      <c r="AQ22" s="107">
        <f>COUNTIF($V$12:$W$35,"=" &amp; AN22 &amp; "_lose")</f>
        <v>0</v>
      </c>
      <c r="AR22" s="107">
        <f>SUMIF($E$10:$E$33,$AN22,$F$10:$F$33) + SUMIF($H$10:$H$33,$AN22,$G$10:$G$33)</f>
        <v>0</v>
      </c>
      <c r="AS22" s="107">
        <f>SUMIF($E$10:$E$33,$AN22,$G$10:$G$33) + SUMIF($H$10:$H$33,$AN22,$F$10:$F$33)</f>
        <v>0</v>
      </c>
      <c r="AT22" s="107">
        <f>AW22*10000</f>
        <v>0</v>
      </c>
      <c r="AU22" s="107">
        <f>AR22-AS22</f>
        <v>0</v>
      </c>
      <c r="AV22" s="107">
        <f>(AU22-AU24)/AU23</f>
        <v>0</v>
      </c>
      <c r="AW22" s="107">
        <f>AO22*3+AP22</f>
        <v>0</v>
      </c>
      <c r="AX22" s="107">
        <f>BD22/BD23*10+BE22/BE23+BH22/BH23*0.1+BF22/BF23*0.01</f>
        <v>0</v>
      </c>
      <c r="BA22" s="107">
        <f>VLOOKUP(AN22,db_fifarank,2,FALSE)/2000000</f>
        <v>1.37E-4</v>
      </c>
      <c r="BB22" s="108">
        <f>10000000*AW22/AW23+100000*AX22/AX23+100*AV22+10*AR22/AR23+1*AX22/AX23+BA22</f>
        <v>1.37E-4</v>
      </c>
      <c r="BD22" s="107">
        <f>SUMPRODUCT(($V$12:$V$35=AN22&amp;"_win")*($X$12:$X$35))+SUMPRODUCT(($W$12:$W$35=AN22&amp;"_win")*($X$12:$X$35))</f>
        <v>0</v>
      </c>
      <c r="BE22" s="109">
        <f>SUMPRODUCT(($V$12:$V$35=AN22&amp;"_draw")*($X$12:$X$35))+SUMPRODUCT(($W$12:$W$35=AN22&amp;"_draw")*($X$12:$X$35))</f>
        <v>0</v>
      </c>
      <c r="BF22" s="109">
        <f>SUMPRODUCT(($E$10:$E$33=AN22)*($X$12:$X$35)*($F$10:$F$33))+SUMPRODUCT(($H$10:$H$33=AN22)*($X$12:$X$35)*($G$10:$G$33))</f>
        <v>0</v>
      </c>
      <c r="BG22" s="109">
        <f>SUMPRODUCT(($E$10:$E$33=AN22)*($X$12:$X$35)*($G$10:$G$33))+SUMPRODUCT(($H$10:$H$33=AN22)*($X$12:$X$35)*($F$10:$F$33))</f>
        <v>0</v>
      </c>
      <c r="BH22" s="109">
        <f>BF22-BG22</f>
        <v>0</v>
      </c>
      <c r="BI22" s="108" t="str">
        <f t="shared" ref="BI22:BI24" si="31">AN26</f>
        <v>Nigeria</v>
      </c>
      <c r="BJ22" s="108">
        <v>3</v>
      </c>
      <c r="BK22" s="108">
        <v>2</v>
      </c>
      <c r="BM22" s="109">
        <f>IFERROR(VLOOKUP("241",$AD$12:$AG$35,2,FALSE),0) + IFERROR(VLOOKUP("241",$AH$12:$AK$35,2,FALSE),0)</f>
        <v>0</v>
      </c>
      <c r="BN22" s="109">
        <f>IFERROR(VLOOKUP("242",$AD$12:$AG$35,2,FALSE),0) + IFERROR(VLOOKUP("242",$AH$12:$AK$35,2,FALSE),0)</f>
        <v>0</v>
      </c>
      <c r="BO22" s="109">
        <f>IFERROR(VLOOKUP("243",$AD$12:$AG$35,2,FALSE),0) + IFERROR(VLOOKUP("243",$AH$12:$AK$35,2,FALSE),0)</f>
        <v>0</v>
      </c>
      <c r="BQ22" s="110">
        <f>SUM(BM22:BP22)</f>
        <v>0</v>
      </c>
      <c r="BR22" s="109">
        <f>IFERROR(VLOOKUP("241",$AD$12:$AG$35,3,FALSE),0) + IFERROR(VLOOKUP("241",$AH$12:$AK$35,3,FALSE),0)</f>
        <v>0</v>
      </c>
      <c r="BS22" s="109">
        <f>IFERROR(VLOOKUP("242",$AD$12:$AG$35,3,FALSE),0) + IFERROR(VLOOKUP("242",$AH$12:$AK$35,3,FALSE),0)</f>
        <v>0</v>
      </c>
      <c r="BT22" s="109">
        <f>IFERROR(VLOOKUP("243",$AD$12:$AG$35,3,FALSE),0) + IFERROR(VLOOKUP("243",$AH$12:$AK$35,3,FALSE),0)</f>
        <v>0</v>
      </c>
      <c r="BV22" s="110">
        <f>SUM(BR22:BU22)</f>
        <v>0</v>
      </c>
      <c r="BW22" s="110">
        <f>RANK(BV22,BV19:BV22)</f>
        <v>1</v>
      </c>
      <c r="BX22" s="109">
        <f>IFERROR(VLOOKUP("241",$AD$12:$AG$35,4,FALSE),0) + IFERROR(VLOOKUP("241",$AH$12:$AK$35,4,FALSE),0)</f>
        <v>0</v>
      </c>
      <c r="BY22" s="109">
        <f>IFERROR(VLOOKUP("242",$AD$12:$AG$35,4,FALSE),0) + IFERROR(VLOOKUP("242",$AH$12:$AK$35,4,FALSE),0)</f>
        <v>0</v>
      </c>
      <c r="BZ22" s="109">
        <f>IFERROR(VLOOKUP("243",$AD$12:$AG$35,4,FALSE),0) + IFERROR(VLOOKUP("243",$AH$12:$AK$35,4,FALSE),0)</f>
        <v>0</v>
      </c>
      <c r="CB22" s="110">
        <f>SUM(BX22:CA22)</f>
        <v>0</v>
      </c>
      <c r="CC22" s="109">
        <f>IF(BM23=BQ22,BM22,0)</f>
        <v>0</v>
      </c>
      <c r="CD22" s="109">
        <f>IF(BN23=BQ22,BN22,0)</f>
        <v>0</v>
      </c>
      <c r="CE22" s="109">
        <f>IF(BO23=BQ22,BO22,0)</f>
        <v>0</v>
      </c>
      <c r="CG22" s="110">
        <f>SUM(CC22:CF22)</f>
        <v>0</v>
      </c>
      <c r="CH22" s="109">
        <f>IF(BM23=BQ22,BR22,0)</f>
        <v>0</v>
      </c>
      <c r="CI22" s="109">
        <f>IF(BN23=BQ22,BS22,0)</f>
        <v>0</v>
      </c>
      <c r="CJ22" s="109">
        <f>IF(BO23=BQ22,BT22,0)</f>
        <v>0</v>
      </c>
      <c r="CL22" s="110">
        <f>SUM(CH22:CK22)</f>
        <v>0</v>
      </c>
      <c r="CM22" s="110">
        <f>RANK(CL22,CL19:CL22)</f>
        <v>1</v>
      </c>
      <c r="CN22" s="109">
        <f>IF(BM23=BQ22,BX22,0)</f>
        <v>0</v>
      </c>
      <c r="CO22" s="109">
        <f>IF(BN23=BQ22,BY22,0)</f>
        <v>0</v>
      </c>
      <c r="CP22" s="109">
        <f>IF(BO23=BQ22,BZ22,0)</f>
        <v>0</v>
      </c>
      <c r="CR22" s="110">
        <f>SUM(CN22:CQ22)</f>
        <v>0</v>
      </c>
      <c r="CS22" s="110">
        <f t="shared" si="28"/>
        <v>4</v>
      </c>
      <c r="CT22" s="110">
        <f>RANK(CS22,CS19:CS22)</f>
        <v>1</v>
      </c>
      <c r="CU22" s="109">
        <f>IF(CU23=CT22,BM22,0)</f>
        <v>0</v>
      </c>
      <c r="CV22" s="109">
        <f>IF(CV23=CT22,BN22,0)</f>
        <v>0</v>
      </c>
      <c r="CW22" s="109">
        <f>IF(CW23=CT22,BO22,0)</f>
        <v>0</v>
      </c>
      <c r="CY22" s="110">
        <f t="shared" si="29"/>
        <v>0</v>
      </c>
      <c r="CZ22" s="110">
        <f t="shared" si="30"/>
        <v>40004.000001369997</v>
      </c>
      <c r="DA22" s="110">
        <f>RANK(CZ22,CZ19:CZ22)</f>
        <v>4</v>
      </c>
      <c r="DD22" s="123"/>
      <c r="DE22" s="84" t="str">
        <f>BC26</f>
        <v>2C</v>
      </c>
      <c r="DF22" s="58"/>
      <c r="DG22" s="91"/>
      <c r="DH22" s="76"/>
      <c r="DO22" s="103"/>
      <c r="DP22" s="76" t="str">
        <f>INDEX(T,24+MONTH(U55),lang) &amp; " " &amp; DAY(U55) &amp; ", " &amp; YEAR(U55) &amp; "   " &amp; TEXT(HOUR(U55), "00") &amp; ":" &amp; TEXT(MINUTE(U55),"00")</f>
        <v>Feb 4, 2018   19:00</v>
      </c>
      <c r="DQ22" s="76"/>
      <c r="DR22" s="76"/>
      <c r="DS22" s="85"/>
    </row>
    <row r="23" spans="1:123">
      <c r="A23" s="64">
        <v>14</v>
      </c>
      <c r="B23" s="65" t="str">
        <f t="shared" si="0"/>
        <v>Fri</v>
      </c>
      <c r="C23" s="66" t="str">
        <f t="shared" si="1"/>
        <v>Jan 19, 2018</v>
      </c>
      <c r="D23" s="67">
        <f t="shared" si="2"/>
        <v>0.8125</v>
      </c>
      <c r="E23" s="68" t="str">
        <f>AN27</f>
        <v>Rwanda</v>
      </c>
      <c r="F23" s="56"/>
      <c r="G23" s="57"/>
      <c r="H23" s="74" t="str">
        <f>AN28</f>
        <v>Equatorial Guinea</v>
      </c>
      <c r="I23" s="124" t="str">
        <f>INDEX(T,105,lang)</f>
        <v>Stade Ibn Batouta, Tangier</v>
      </c>
      <c r="J23" s="125"/>
      <c r="K23" s="126"/>
      <c r="M23" s="54" t="str">
        <f>INDEX(T,9,lang) &amp; " " &amp; "C"</f>
        <v>Group C</v>
      </c>
      <c r="N23" s="55" t="str">
        <f>INDEX(T,10,lang)</f>
        <v>PL</v>
      </c>
      <c r="O23" s="55" t="str">
        <f>INDEX(T,11,lang)</f>
        <v>W</v>
      </c>
      <c r="P23" s="55" t="str">
        <f>INDEX(T,12,lang)</f>
        <v>DRAW</v>
      </c>
      <c r="Q23" s="55" t="str">
        <f>INDEX(T,13,lang)</f>
        <v>L</v>
      </c>
      <c r="R23" s="55" t="str">
        <f>INDEX(T,14,lang)</f>
        <v>GF - GA</v>
      </c>
      <c r="S23" s="114" t="str">
        <f>INDEX(T,15,lang)</f>
        <v>PNT</v>
      </c>
      <c r="U23" s="107">
        <f>DATE(2018,1,18)+TIME(8,30,0)+gmt_delta</f>
        <v>43118.8125</v>
      </c>
      <c r="V23" s="112" t="str">
        <f t="shared" si="3"/>
        <v/>
      </c>
      <c r="W23" s="112" t="str">
        <f t="shared" si="4"/>
        <v/>
      </c>
      <c r="X23" s="108">
        <f t="shared" si="5"/>
        <v>0</v>
      </c>
      <c r="Y23" s="107">
        <f t="shared" si="6"/>
        <v>0</v>
      </c>
      <c r="Z23" s="107">
        <f t="shared" si="7"/>
        <v>0</v>
      </c>
      <c r="AA23" s="107">
        <f t="shared" si="8"/>
        <v>2</v>
      </c>
      <c r="AB23" s="107">
        <f t="shared" si="9"/>
        <v>3</v>
      </c>
      <c r="AC23" s="107">
        <f t="shared" si="10"/>
        <v>4</v>
      </c>
      <c r="AD23" s="107" t="str">
        <f t="shared" si="11"/>
        <v>234</v>
      </c>
      <c r="AE23" s="107">
        <f t="shared" si="12"/>
        <v>0</v>
      </c>
      <c r="AF23" s="107">
        <f t="shared" si="13"/>
        <v>0</v>
      </c>
      <c r="AG23" s="107">
        <f t="shared" si="14"/>
        <v>0</v>
      </c>
      <c r="AH23" s="107" t="str">
        <f t="shared" si="18"/>
        <v>243</v>
      </c>
      <c r="AI23" s="107">
        <f t="shared" si="15"/>
        <v>0</v>
      </c>
      <c r="AJ23" s="107">
        <f t="shared" si="16"/>
        <v>0</v>
      </c>
      <c r="AK23" s="107">
        <f t="shared" si="17"/>
        <v>0</v>
      </c>
      <c r="AO23" s="107">
        <f t="shared" ref="AO23:AX23" si="32">MAX(AO19:AO22)-MIN(AO19:AO22)+1</f>
        <v>1</v>
      </c>
      <c r="AP23" s="107">
        <f t="shared" si="32"/>
        <v>1</v>
      </c>
      <c r="AQ23" s="107">
        <f t="shared" si="32"/>
        <v>1</v>
      </c>
      <c r="AR23" s="107">
        <f t="shared" si="32"/>
        <v>1</v>
      </c>
      <c r="AS23" s="107">
        <f t="shared" si="32"/>
        <v>1</v>
      </c>
      <c r="AT23" s="107">
        <f>MAX(AT19:AT22)-AT24+1</f>
        <v>1</v>
      </c>
      <c r="AU23" s="107">
        <f>MAX(AU19:AU22)-AU24+1</f>
        <v>1</v>
      </c>
      <c r="AW23" s="107">
        <f t="shared" si="32"/>
        <v>1</v>
      </c>
      <c r="AX23" s="107">
        <f t="shared" si="32"/>
        <v>1</v>
      </c>
      <c r="BD23" s="107">
        <f>MAX(BD19:BD22)-MIN(BD19:BD22)+1</f>
        <v>1</v>
      </c>
      <c r="BE23" s="107">
        <f>MAX(BE19:BE22)-MIN(BE19:BE22)+1</f>
        <v>1</v>
      </c>
      <c r="BF23" s="107">
        <f>MAX(BF19:BF22)-MIN(BF19:BF22)+1</f>
        <v>1</v>
      </c>
      <c r="BG23" s="107">
        <f>MAX(BG19:BG22)-MIN(BG19:BG22)+1</f>
        <v>1</v>
      </c>
      <c r="BH23" s="107">
        <f>MAX(BH19:BH22)-MIN(BH19:BH22)+1</f>
        <v>1</v>
      </c>
      <c r="BI23" s="108" t="str">
        <f t="shared" si="31"/>
        <v>Rwanda</v>
      </c>
      <c r="BJ23" s="108">
        <v>3</v>
      </c>
      <c r="BK23" s="108">
        <v>3</v>
      </c>
      <c r="BM23" s="107">
        <f>BQ19</f>
        <v>0</v>
      </c>
      <c r="BN23" s="107">
        <f>BQ20</f>
        <v>0</v>
      </c>
      <c r="BO23" s="107">
        <f>BQ21</f>
        <v>0</v>
      </c>
      <c r="BP23" s="107">
        <f>BQ22</f>
        <v>0</v>
      </c>
      <c r="BR23" s="107"/>
      <c r="BS23" s="107"/>
      <c r="BT23" s="107"/>
      <c r="BU23" s="107"/>
      <c r="BX23" s="107"/>
      <c r="BY23" s="107"/>
      <c r="BZ23" s="107"/>
      <c r="CA23" s="107"/>
      <c r="CC23" s="107"/>
      <c r="CD23" s="107"/>
      <c r="CE23" s="107"/>
      <c r="CF23" s="107"/>
      <c r="CH23" s="107"/>
      <c r="CI23" s="107"/>
      <c r="CJ23" s="107"/>
      <c r="CK23" s="107"/>
      <c r="CN23" s="107"/>
      <c r="CO23" s="107"/>
      <c r="CP23" s="107"/>
      <c r="CQ23" s="107"/>
      <c r="CU23" s="107">
        <f>CT19</f>
        <v>1</v>
      </c>
      <c r="CV23" s="107">
        <f>CT20</f>
        <v>1</v>
      </c>
      <c r="CW23" s="107">
        <f>CT21</f>
        <v>1</v>
      </c>
      <c r="CX23" s="107">
        <f>CT22</f>
        <v>1</v>
      </c>
      <c r="CY23" s="110">
        <f t="shared" si="29"/>
        <v>4</v>
      </c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81"/>
      <c r="DO23" s="104"/>
      <c r="DP23" s="122">
        <v>32</v>
      </c>
      <c r="DQ23" s="83" t="str">
        <f>W46</f>
        <v>Winner SF1</v>
      </c>
      <c r="DR23" s="60"/>
      <c r="DS23" s="90"/>
    </row>
    <row r="24" spans="1:123">
      <c r="A24" s="64">
        <v>15</v>
      </c>
      <c r="B24" s="65" t="str">
        <f t="shared" si="0"/>
        <v>Sat</v>
      </c>
      <c r="C24" s="66" t="str">
        <f t="shared" si="1"/>
        <v>Jan 20, 2018</v>
      </c>
      <c r="D24" s="67">
        <f t="shared" si="2"/>
        <v>0.6875</v>
      </c>
      <c r="E24" s="68" t="str">
        <f>AN31</f>
        <v>Angola</v>
      </c>
      <c r="F24" s="56"/>
      <c r="G24" s="57"/>
      <c r="H24" s="74" t="str">
        <f>AN32</f>
        <v>Cameroon</v>
      </c>
      <c r="I24" s="124" t="str">
        <f>INDEX(T,106,lang)</f>
        <v>Stade Adrar, Agadir</v>
      </c>
      <c r="J24" s="125"/>
      <c r="K24" s="126"/>
      <c r="M24" s="22" t="str">
        <f>VLOOKUP(1,AM25:AW28,2,FALSE)</f>
        <v>Nigeria</v>
      </c>
      <c r="N24" s="27">
        <f>O24+P24+Q24</f>
        <v>0</v>
      </c>
      <c r="O24" s="27">
        <f>VLOOKUP(1,AM25:AW28,3,FALSE)</f>
        <v>0</v>
      </c>
      <c r="P24" s="27">
        <f>VLOOKUP(1,AM25:AW28,4,FALSE)</f>
        <v>0</v>
      </c>
      <c r="Q24" s="27">
        <f>VLOOKUP(1,AM25:AW28,5,FALSE)</f>
        <v>0</v>
      </c>
      <c r="R24" s="27" t="str">
        <f>VLOOKUP(1,AM25:AW28,6,FALSE) &amp; " - " &amp; VLOOKUP(1,AM25:AW28,7,FALSE)</f>
        <v>0 - 0</v>
      </c>
      <c r="S24" s="28">
        <f>O24*3+P24</f>
        <v>0</v>
      </c>
      <c r="U24" s="107">
        <f>DATE(2018,1,19)+TIME(5,30,0)+gmt_delta</f>
        <v>43119.6875</v>
      </c>
      <c r="V24" s="112" t="str">
        <f t="shared" si="3"/>
        <v/>
      </c>
      <c r="W24" s="112" t="str">
        <f t="shared" si="4"/>
        <v/>
      </c>
      <c r="X24" s="108">
        <f t="shared" si="5"/>
        <v>0</v>
      </c>
      <c r="Y24" s="107">
        <f t="shared" si="6"/>
        <v>0</v>
      </c>
      <c r="Z24" s="107">
        <f t="shared" si="7"/>
        <v>0</v>
      </c>
      <c r="AA24" s="107">
        <f t="shared" si="8"/>
        <v>3</v>
      </c>
      <c r="AB24" s="107">
        <f t="shared" si="9"/>
        <v>1</v>
      </c>
      <c r="AC24" s="107">
        <f t="shared" si="10"/>
        <v>2</v>
      </c>
      <c r="AD24" s="107" t="str">
        <f t="shared" si="11"/>
        <v>312</v>
      </c>
      <c r="AE24" s="107">
        <f t="shared" si="12"/>
        <v>0</v>
      </c>
      <c r="AF24" s="107">
        <f t="shared" si="13"/>
        <v>0</v>
      </c>
      <c r="AG24" s="107">
        <f t="shared" si="14"/>
        <v>0</v>
      </c>
      <c r="AH24" s="107" t="str">
        <f t="shared" si="18"/>
        <v>321</v>
      </c>
      <c r="AI24" s="107">
        <f t="shared" si="15"/>
        <v>0</v>
      </c>
      <c r="AJ24" s="107">
        <f t="shared" si="16"/>
        <v>0</v>
      </c>
      <c r="AK24" s="107">
        <f t="shared" si="17"/>
        <v>0</v>
      </c>
      <c r="AT24" s="107">
        <f>MIN(AT19:AT22)</f>
        <v>0</v>
      </c>
      <c r="AU24" s="107">
        <f>MIN(AU19:AU22)</f>
        <v>0</v>
      </c>
      <c r="BI24" s="108" t="str">
        <f t="shared" si="31"/>
        <v>Equatorial Guinea</v>
      </c>
      <c r="BJ24" s="108">
        <v>3</v>
      </c>
      <c r="BK24" s="108">
        <v>4</v>
      </c>
      <c r="DD24" s="76" t="str">
        <f>INDEX(T,24+MONTH(U41),lang) &amp; " " &amp; DAY(U41) &amp; ", " &amp; YEAR(U41) &amp; "   " &amp; TEXT(HOUR(U41), "00") &amp; ":" &amp; TEXT(MINUTE(U41),"00")</f>
        <v>Jan 27, 2018   19:30</v>
      </c>
      <c r="DE24" s="76"/>
      <c r="DF24" s="76"/>
      <c r="DG24" s="85"/>
      <c r="DH24" s="76"/>
      <c r="DI24" s="76"/>
      <c r="DJ24" s="76"/>
      <c r="DK24" s="76"/>
      <c r="DL24" s="76"/>
      <c r="DM24" s="76"/>
      <c r="DN24" s="77"/>
      <c r="DO24" s="78"/>
      <c r="DP24" s="123"/>
      <c r="DQ24" s="84" t="str">
        <f>W47</f>
        <v>Winner SF2</v>
      </c>
      <c r="DR24" s="58"/>
      <c r="DS24" s="91"/>
    </row>
    <row r="25" spans="1:123">
      <c r="A25" s="64">
        <v>16</v>
      </c>
      <c r="B25" s="65" t="str">
        <f t="shared" si="0"/>
        <v>Sat</v>
      </c>
      <c r="C25" s="66" t="str">
        <f t="shared" si="1"/>
        <v>Jan 20, 2018</v>
      </c>
      <c r="D25" s="67">
        <f t="shared" si="2"/>
        <v>0.8125</v>
      </c>
      <c r="E25" s="68" t="str">
        <f>AN33</f>
        <v>Congo</v>
      </c>
      <c r="F25" s="56"/>
      <c r="G25" s="57"/>
      <c r="H25" s="74" t="str">
        <f>AN34</f>
        <v>Burkina Faso</v>
      </c>
      <c r="I25" s="124" t="str">
        <f>INDEX(T,106,lang)</f>
        <v>Stade Adrar, Agadir</v>
      </c>
      <c r="J25" s="125"/>
      <c r="K25" s="126"/>
      <c r="M25" s="23" t="str">
        <f>VLOOKUP(2,AM25:AW28,2,FALSE)</f>
        <v>Libya</v>
      </c>
      <c r="N25" s="29">
        <f>O25+P25+Q25</f>
        <v>0</v>
      </c>
      <c r="O25" s="29">
        <f>VLOOKUP(2,AM25:AW28,3,FALSE)</f>
        <v>0</v>
      </c>
      <c r="P25" s="29">
        <f>VLOOKUP(2,AM25:AW28,4,FALSE)</f>
        <v>0</v>
      </c>
      <c r="Q25" s="29">
        <f>VLOOKUP(2,AM25:AW28,5,FALSE)</f>
        <v>0</v>
      </c>
      <c r="R25" s="29" t="str">
        <f>VLOOKUP(2,AM25:AW28,6,FALSE) &amp; " - " &amp; VLOOKUP(2,AM25:AW28,7,FALSE)</f>
        <v>0 - 0</v>
      </c>
      <c r="S25" s="30">
        <f>O25*3+P25</f>
        <v>0</v>
      </c>
      <c r="U25" s="107">
        <f>DATE(2018,1,19)+TIME(8,30,0)+gmt_delta</f>
        <v>43119.8125</v>
      </c>
      <c r="V25" s="112" t="str">
        <f t="shared" si="3"/>
        <v/>
      </c>
      <c r="W25" s="112" t="str">
        <f t="shared" si="4"/>
        <v/>
      </c>
      <c r="X25" s="108">
        <f t="shared" si="5"/>
        <v>0</v>
      </c>
      <c r="Y25" s="107">
        <f t="shared" si="6"/>
        <v>0</v>
      </c>
      <c r="Z25" s="107">
        <f t="shared" si="7"/>
        <v>0</v>
      </c>
      <c r="AA25" s="107">
        <f t="shared" si="8"/>
        <v>3</v>
      </c>
      <c r="AB25" s="107">
        <f t="shared" si="9"/>
        <v>3</v>
      </c>
      <c r="AC25" s="107">
        <f t="shared" si="10"/>
        <v>4</v>
      </c>
      <c r="AD25" s="107" t="str">
        <f t="shared" si="11"/>
        <v>334</v>
      </c>
      <c r="AE25" s="107">
        <f t="shared" si="12"/>
        <v>0</v>
      </c>
      <c r="AF25" s="107">
        <f t="shared" si="13"/>
        <v>0</v>
      </c>
      <c r="AG25" s="107">
        <f t="shared" si="14"/>
        <v>0</v>
      </c>
      <c r="AH25" s="107" t="str">
        <f t="shared" si="18"/>
        <v>343</v>
      </c>
      <c r="AI25" s="107">
        <f t="shared" si="15"/>
        <v>0</v>
      </c>
      <c r="AJ25" s="107">
        <f t="shared" si="16"/>
        <v>0</v>
      </c>
      <c r="AK25" s="107">
        <f t="shared" si="17"/>
        <v>0</v>
      </c>
      <c r="AM25" s="107">
        <f>DA25</f>
        <v>2</v>
      </c>
      <c r="AN25" s="108" t="str">
        <f>INDEX(T,45,lang)</f>
        <v>Libya</v>
      </c>
      <c r="AO25" s="107">
        <f>COUNTIF($V$12:$W$35,"=" &amp; AN25 &amp; "_win")</f>
        <v>0</v>
      </c>
      <c r="AP25" s="107">
        <f>COUNTIF($V$12:$W$35,"=" &amp; AN25 &amp; "_draw")</f>
        <v>0</v>
      </c>
      <c r="AQ25" s="107">
        <f>COUNTIF($V$12:$W$35,"=" &amp; AN25 &amp; "_lose")</f>
        <v>0</v>
      </c>
      <c r="AR25" s="107">
        <f>SUMIF($E$10:$E$33,$AN25,$F$10:$F$33) + SUMIF($H$10:$H$33,$AN25,$G$10:$G$33)</f>
        <v>0</v>
      </c>
      <c r="AS25" s="107">
        <f>SUMIF($E$10:$E$33,$AN25,$G$10:$G$33) + SUMIF($H$10:$H$33,$AN25,$F$10:$F$33)</f>
        <v>0</v>
      </c>
      <c r="AT25" s="107">
        <f>AW25*10000</f>
        <v>0</v>
      </c>
      <c r="AU25" s="107">
        <f>AR25-AS25</f>
        <v>0</v>
      </c>
      <c r="AV25" s="107">
        <f>(AU25-AU30)/AU29</f>
        <v>0</v>
      </c>
      <c r="AW25" s="107">
        <f>AO25*3+AP25</f>
        <v>0</v>
      </c>
      <c r="AX25" s="107">
        <f>BD25/BD29*10+BE25/BE29+BH25/BH29*0.1+BF25/BF29*0.01</f>
        <v>0</v>
      </c>
      <c r="BA25" s="107">
        <f>VLOOKUP(AN25,db_fifarank,2,FALSE)/2000000</f>
        <v>2.2100000000000001E-4</v>
      </c>
      <c r="BB25" s="108">
        <f>10000000*AW25/AW29+100000*AX25/AX29+100*AV25+10*AR25/AR29+1*AX25/AX29+BA25</f>
        <v>2.2100000000000001E-4</v>
      </c>
      <c r="BC25" s="108" t="str">
        <f>IF(SUM(AO25:AQ28)=12,M24,INDEX(T,74,lang))</f>
        <v>1C</v>
      </c>
      <c r="BD25" s="107">
        <f>SUMPRODUCT(($V$12:$V$35=AN25&amp;"_win")*($X$12:$X$35))+SUMPRODUCT(($W$12:$W$35=AN25&amp;"_win")*($X$12:$X$35))</f>
        <v>0</v>
      </c>
      <c r="BE25" s="109">
        <f>SUMPRODUCT(($V$12:$V$35=AN25&amp;"_draw")*($X$12:$X$35))+SUMPRODUCT(($W$12:$W$35=AN25&amp;"_draw")*($X$12:$X$35))</f>
        <v>0</v>
      </c>
      <c r="BF25" s="109">
        <f>SUMPRODUCT(($E$10:$E$33=AN25)*($X$12:$X$35)*($F$10:$F$33))+SUMPRODUCT(($H$10:$H$33=AN25)*($X$12:$X$35)*($G$10:$G$33))</f>
        <v>0</v>
      </c>
      <c r="BG25" s="109">
        <f>SUMPRODUCT(($E$10:$E$33=AN25)*($X$12:$X$35)*($G$10:$G$33))+SUMPRODUCT(($H$10:$H$33=AN25)*($X$12:$X$35)*($F$10:$F$33))</f>
        <v>0</v>
      </c>
      <c r="BH25" s="109">
        <f>BF25-BG25</f>
        <v>0</v>
      </c>
      <c r="BI25" s="108" t="str">
        <f>AN31</f>
        <v>Angola</v>
      </c>
      <c r="BJ25" s="108">
        <v>4</v>
      </c>
      <c r="BK25" s="108">
        <v>1</v>
      </c>
      <c r="BN25" s="109">
        <f>IFERROR(VLOOKUP("312",$AD$12:$AG$35,2,FALSE),0) + IFERROR(VLOOKUP("312",$AH$12:$AK$35,2,FALSE),0)</f>
        <v>0</v>
      </c>
      <c r="BO25" s="109">
        <f>IFERROR(VLOOKUP("313",$AD$12:$AG$35,2,FALSE),0) + IFERROR(VLOOKUP("313",$AH$12:$AK$35,2,FALSE),0)</f>
        <v>0</v>
      </c>
      <c r="BP25" s="109">
        <f>IFERROR(VLOOKUP("314",$AD$12:$AG$35,2,FALSE),0) + IFERROR(VLOOKUP("314",$AH$12:$AK$35,2,FALSE),0)</f>
        <v>0</v>
      </c>
      <c r="BQ25" s="110">
        <f>SUM(BM25:BP25)</f>
        <v>0</v>
      </c>
      <c r="BS25" s="109">
        <f>IFERROR(VLOOKUP("312",$AD$12:$AG$35,3,FALSE),0) + IFERROR(VLOOKUP("312",$AH$12:$AK$35,3,FALSE),0)</f>
        <v>0</v>
      </c>
      <c r="BT25" s="109">
        <f>IFERROR(VLOOKUP("313",$AD$12:$AG$35,3,FALSE),0) + IFERROR(VLOOKUP("313",$AH$12:$AK$35,3,FALSE),0)</f>
        <v>0</v>
      </c>
      <c r="BU25" s="109">
        <f>IFERROR(VLOOKUP("314",$AD$12:$AG$35,3,FALSE),0) + IFERROR(VLOOKUP("314",$AH$12:$AK$35,3,FALSE),0)</f>
        <v>0</v>
      </c>
      <c r="BV25" s="110">
        <f>SUM(BR25:BU25)</f>
        <v>0</v>
      </c>
      <c r="BW25" s="110">
        <f>RANK(BV25,BV25:BV28)</f>
        <v>1</v>
      </c>
      <c r="BY25" s="109">
        <f>IFERROR(VLOOKUP("312",$AD$12:$AG$35,4,FALSE),0) + IFERROR(VLOOKUP("312",$AH$12:$AK$35,4,FALSE),0)</f>
        <v>0</v>
      </c>
      <c r="BZ25" s="109">
        <f>IFERROR(VLOOKUP("313",$AD$12:$AG$35,4,FALSE),0) + IFERROR(VLOOKUP("313",$AH$12:$AK$35,4,FALSE),0)</f>
        <v>0</v>
      </c>
      <c r="CA25" s="109">
        <f>IFERROR(VLOOKUP("314",$AD$12:$AG$35,4,FALSE),0) + IFERROR(VLOOKUP("314",$AH$12:$AK$35,4,FALSE),0)</f>
        <v>0</v>
      </c>
      <c r="CB25" s="110">
        <f>SUM(BX25:CA25)</f>
        <v>0</v>
      </c>
      <c r="CD25" s="109">
        <f>IF(BN29=BQ25,BN25,0)</f>
        <v>0</v>
      </c>
      <c r="CE25" s="109">
        <f>IF(BO29=BQ25,BO25,0)</f>
        <v>0</v>
      </c>
      <c r="CF25" s="109">
        <f>IF(BP29=BQ25,BP25,0)</f>
        <v>0</v>
      </c>
      <c r="CG25" s="110">
        <f>SUM(CC25:CF25)</f>
        <v>0</v>
      </c>
      <c r="CI25" s="109">
        <f>IF(BN29=BQ25,BS25,0)</f>
        <v>0</v>
      </c>
      <c r="CJ25" s="109">
        <f>IF(BO29=BQ25,BT25,0)</f>
        <v>0</v>
      </c>
      <c r="CK25" s="109">
        <f>IF(BP29=BQ25,BU25,0)</f>
        <v>0</v>
      </c>
      <c r="CL25" s="110">
        <f>SUM(CH25:CK25)</f>
        <v>0</v>
      </c>
      <c r="CM25" s="110">
        <f>RANK(CL25,CL25:CL28)</f>
        <v>1</v>
      </c>
      <c r="CO25" s="109">
        <f>IF(BN29=BQ25,BY25,0)</f>
        <v>0</v>
      </c>
      <c r="CP25" s="109">
        <f>IF(BO29=BQ25,BZ25,0)</f>
        <v>0</v>
      </c>
      <c r="CQ25" s="109">
        <f>IF(BP29=BQ25,CA25,0)</f>
        <v>0</v>
      </c>
      <c r="CR25" s="110">
        <f>SUM(CN25:CQ25)</f>
        <v>0</v>
      </c>
      <c r="CS25" s="110">
        <f>BQ25*10000+CG25*100+(5-CM25)+CR25/10</f>
        <v>4</v>
      </c>
      <c r="CT25" s="110">
        <f>RANK(CS25,CS25:CS28)</f>
        <v>1</v>
      </c>
      <c r="CV25" s="109">
        <f>IF(CV29=CT25,BN25,0)</f>
        <v>0</v>
      </c>
      <c r="CW25" s="109">
        <f>IF(CW29=CT25,BO25,0)</f>
        <v>0</v>
      </c>
      <c r="CX25" s="109">
        <f>IF(CX29=CT25,BP25,0)</f>
        <v>0</v>
      </c>
      <c r="CY25" s="110">
        <f>SUM(CU25:CX25)</f>
        <v>0</v>
      </c>
      <c r="CZ25" s="110">
        <f>(5-CT25)*10000+CY25*100+(5-BW25)+CB25/10+BA25/100</f>
        <v>40004.000002209999</v>
      </c>
      <c r="DA25" s="110">
        <f>RANK(CZ25,CZ25:CZ28)</f>
        <v>2</v>
      </c>
      <c r="DD25" s="122">
        <v>26</v>
      </c>
      <c r="DE25" s="83" t="str">
        <f>BC19</f>
        <v>1B</v>
      </c>
      <c r="DF25" s="60"/>
      <c r="DG25" s="90"/>
      <c r="DH25" s="76"/>
      <c r="DI25" s="76"/>
      <c r="DJ25" s="76"/>
      <c r="DK25" s="76"/>
      <c r="DL25" s="76"/>
      <c r="DM25" s="76"/>
      <c r="DN25" s="77"/>
    </row>
    <row r="26" spans="1:123">
      <c r="A26" s="64">
        <v>17</v>
      </c>
      <c r="B26" s="65" t="str">
        <f t="shared" si="0"/>
        <v>Sun</v>
      </c>
      <c r="C26" s="66" t="str">
        <f t="shared" si="1"/>
        <v>Jan 21, 2018</v>
      </c>
      <c r="D26" s="67">
        <f t="shared" si="2"/>
        <v>0.79166666666666663</v>
      </c>
      <c r="E26" s="115" t="str">
        <f>AN15</f>
        <v>Sudan</v>
      </c>
      <c r="F26" s="56"/>
      <c r="G26" s="57"/>
      <c r="H26" s="74" t="str">
        <f>AN13</f>
        <v>Morocco</v>
      </c>
      <c r="I26" s="124" t="str">
        <f>INDEX(T,103,lang)</f>
        <v>Stade Mohamed V, Casablanca</v>
      </c>
      <c r="J26" s="125"/>
      <c r="K26" s="126"/>
      <c r="M26" s="23" t="str">
        <f>VLOOKUP(3,AM25:AW28,2,FALSE)</f>
        <v>Rwanda</v>
      </c>
      <c r="N26" s="29">
        <f>O26+P26+Q26</f>
        <v>0</v>
      </c>
      <c r="O26" s="29">
        <f>VLOOKUP(3,AM25:AW28,3,FALSE)</f>
        <v>0</v>
      </c>
      <c r="P26" s="29">
        <f>VLOOKUP(3,AM25:AW28,4,FALSE)</f>
        <v>0</v>
      </c>
      <c r="Q26" s="29">
        <f>VLOOKUP(3,AM25:AW28,5,FALSE)</f>
        <v>0</v>
      </c>
      <c r="R26" s="29" t="str">
        <f>VLOOKUP(3,AM25:AW28,6,FALSE) &amp; " - " &amp; VLOOKUP(3,AM25:AW28,7,FALSE)</f>
        <v>0 - 0</v>
      </c>
      <c r="S26" s="30">
        <f>O26*3+P26</f>
        <v>0</v>
      </c>
      <c r="U26" s="107">
        <f>DATE(2018,1,20)+TIME(5,30,0)+gmt_delta</f>
        <v>43120.6875</v>
      </c>
      <c r="V26" s="112" t="str">
        <f t="shared" si="3"/>
        <v/>
      </c>
      <c r="W26" s="112" t="str">
        <f t="shared" si="4"/>
        <v/>
      </c>
      <c r="X26" s="108">
        <f t="shared" si="5"/>
        <v>0</v>
      </c>
      <c r="Y26" s="107">
        <f t="shared" si="6"/>
        <v>0</v>
      </c>
      <c r="Z26" s="107">
        <f t="shared" si="7"/>
        <v>0</v>
      </c>
      <c r="AA26" s="107">
        <f t="shared" si="8"/>
        <v>4</v>
      </c>
      <c r="AB26" s="107">
        <f t="shared" si="9"/>
        <v>1</v>
      </c>
      <c r="AC26" s="107">
        <f t="shared" si="10"/>
        <v>2</v>
      </c>
      <c r="AD26" s="107" t="str">
        <f t="shared" si="11"/>
        <v>412</v>
      </c>
      <c r="AE26" s="107">
        <f t="shared" si="12"/>
        <v>0</v>
      </c>
      <c r="AF26" s="107">
        <f t="shared" si="13"/>
        <v>0</v>
      </c>
      <c r="AG26" s="107">
        <f t="shared" si="14"/>
        <v>0</v>
      </c>
      <c r="AH26" s="107" t="str">
        <f t="shared" si="18"/>
        <v>421</v>
      </c>
      <c r="AI26" s="107">
        <f t="shared" si="15"/>
        <v>0</v>
      </c>
      <c r="AJ26" s="107">
        <f t="shared" si="16"/>
        <v>0</v>
      </c>
      <c r="AK26" s="107">
        <f t="shared" si="17"/>
        <v>0</v>
      </c>
      <c r="AM26" s="107">
        <f t="shared" ref="AM26:AM28" si="33">DA26</f>
        <v>1</v>
      </c>
      <c r="AN26" s="108" t="str">
        <f>INDEX(T,49,lang)</f>
        <v>Nigeria</v>
      </c>
      <c r="AO26" s="107">
        <f>COUNTIF($V$12:$W$35,"=" &amp; AN26 &amp; "_win")</f>
        <v>0</v>
      </c>
      <c r="AP26" s="107">
        <f>COUNTIF($V$12:$W$35,"=" &amp; AN26 &amp; "_draw")</f>
        <v>0</v>
      </c>
      <c r="AQ26" s="107">
        <f>COUNTIF($V$12:$W$35,"=" &amp; AN26 &amp; "_lose")</f>
        <v>0</v>
      </c>
      <c r="AR26" s="107">
        <f>SUMIF($E$10:$E$33,$AN26,$F$10:$F$33) + SUMIF($H$10:$H$33,$AN26,$G$10:$G$33)</f>
        <v>0</v>
      </c>
      <c r="AS26" s="107">
        <f>SUMIF($E$10:$E$33,$AN26,$G$10:$G$33) + SUMIF($H$10:$H$33,$AN26,$F$10:$F$33)</f>
        <v>0</v>
      </c>
      <c r="AT26" s="107">
        <f>AW26*10000</f>
        <v>0</v>
      </c>
      <c r="AU26" s="107">
        <f>AR26-AS26</f>
        <v>0</v>
      </c>
      <c r="AV26" s="107">
        <f>(AU26-AU30)/AU29</f>
        <v>0</v>
      </c>
      <c r="AW26" s="107">
        <f>AO26*3+AP26</f>
        <v>0</v>
      </c>
      <c r="AX26" s="107">
        <f>BD26/BD29*10+BE26/BE29+BH26/BH29*0.1+BF26/BF29*0.01</f>
        <v>0</v>
      </c>
      <c r="BA26" s="107">
        <f>VLOOKUP(AN26,db_fifarank,2,FALSE)/2000000</f>
        <v>3.3550000000000002E-4</v>
      </c>
      <c r="BB26" s="108">
        <f>10000000*AW26/AW29+100000*AX26/AX29+100*AV26+10*AR26/AR29+1*AX26/AX29+BA26</f>
        <v>3.3550000000000002E-4</v>
      </c>
      <c r="BC26" s="108" t="str">
        <f>IF(SUM(AO25:AQ28)=12,M25,INDEX(T,75,lang))</f>
        <v>2C</v>
      </c>
      <c r="BD26" s="107">
        <f>SUMPRODUCT(($V$12:$V$35=AN26&amp;"_win")*($X$12:$X$35))+SUMPRODUCT(($W$12:$W$35=AN26&amp;"_win")*($X$12:$X$35))</f>
        <v>0</v>
      </c>
      <c r="BE26" s="109">
        <f>SUMPRODUCT(($V$12:$V$35=AN26&amp;"_draw")*($X$12:$X$35))+SUMPRODUCT(($W$12:$W$35=AN26&amp;"_draw")*($X$12:$X$35))</f>
        <v>0</v>
      </c>
      <c r="BF26" s="109">
        <f>SUMPRODUCT(($E$10:$E$33=AN26)*($X$12:$X$35)*($F$10:$F$33))+SUMPRODUCT(($H$10:$H$33=AN26)*($X$12:$X$35)*($G$10:$G$33))</f>
        <v>0</v>
      </c>
      <c r="BG26" s="109">
        <f>SUMPRODUCT(($E$10:$E$33=AN26)*($X$12:$X$35)*($G$10:$G$33))+SUMPRODUCT(($H$10:$H$33=AN26)*($X$12:$X$35)*($F$10:$F$33))</f>
        <v>0</v>
      </c>
      <c r="BH26" s="109">
        <f>BF26-BG26</f>
        <v>0</v>
      </c>
      <c r="BI26" s="108" t="str">
        <f t="shared" ref="BI26:BI28" si="34">AN32</f>
        <v>Cameroon</v>
      </c>
      <c r="BJ26" s="108">
        <v>4</v>
      </c>
      <c r="BK26" s="108">
        <v>2</v>
      </c>
      <c r="BM26" s="109">
        <f>IFERROR(VLOOKUP("321",$AD$12:$AG$35,2,FALSE),0) + IFERROR(VLOOKUP("321",$AH$12:$AK$35,2,FALSE),0)</f>
        <v>0</v>
      </c>
      <c r="BO26" s="109">
        <f>IFERROR(VLOOKUP("323",$AD$12:$AG$35,2,FALSE),0) + IFERROR(VLOOKUP("323",$AH$12:$AK$35,2,FALSE),0)</f>
        <v>0</v>
      </c>
      <c r="BP26" s="109">
        <f>IFERROR(VLOOKUP("324",$AD$12:$AG$35,2,FALSE),0) + IFERROR(VLOOKUP("324",$AH$12:$AK$35,2,FALSE),0)</f>
        <v>0</v>
      </c>
      <c r="BQ26" s="110">
        <f>SUM(BM26:BP26)</f>
        <v>0</v>
      </c>
      <c r="BR26" s="109">
        <f>IFERROR(VLOOKUP("321",$AD$12:$AG$35,3,FALSE),0) + IFERROR(VLOOKUP("321",$AH$12:$AK$35,3,FALSE),0)</f>
        <v>0</v>
      </c>
      <c r="BT26" s="109">
        <f>IFERROR(VLOOKUP("323",$AD$12:$AG$35,3,FALSE),0) + IFERROR(VLOOKUP("323",$AH$12:$AK$35,3,FALSE),0)</f>
        <v>0</v>
      </c>
      <c r="BU26" s="109">
        <f>IFERROR(VLOOKUP("324",$AD$12:$AG$35,3,FALSE),0) + IFERROR(VLOOKUP("324",$AH$12:$AK$35,3,FALSE),0)</f>
        <v>0</v>
      </c>
      <c r="BV26" s="110">
        <f>SUM(BR26:BU26)</f>
        <v>0</v>
      </c>
      <c r="BW26" s="110">
        <f>RANK(BV26,BV25:BV28)</f>
        <v>1</v>
      </c>
      <c r="BX26" s="109">
        <f>IFERROR(VLOOKUP("321",$AD$12:$AG$35,4,FALSE),0) + IFERROR(VLOOKUP("321",$AH$12:$AK$35,4,FALSE),0)</f>
        <v>0</v>
      </c>
      <c r="BZ26" s="109">
        <f>IFERROR(VLOOKUP("323",$AD$12:$AG$35,4,FALSE),0) + IFERROR(VLOOKUP("323",$AH$12:$AK$35,4,FALSE),0)</f>
        <v>0</v>
      </c>
      <c r="CA26" s="109">
        <f>IFERROR(VLOOKUP("324",$AD$12:$AG$35,4,FALSE),0) + IFERROR(VLOOKUP("324",$AH$12:$AK$35,4,FALSE),0)</f>
        <v>0</v>
      </c>
      <c r="CB26" s="110">
        <f>SUM(BX26:CA26)</f>
        <v>0</v>
      </c>
      <c r="CC26" s="109">
        <f>IF(BM29=BQ26,BM26,0)</f>
        <v>0</v>
      </c>
      <c r="CE26" s="109">
        <f>IF(BO29=BQ26,BO26,0)</f>
        <v>0</v>
      </c>
      <c r="CF26" s="109">
        <f>IF(BP29=BQ26,BP26,0)</f>
        <v>0</v>
      </c>
      <c r="CG26" s="110">
        <f>SUM(CC26:CF26)</f>
        <v>0</v>
      </c>
      <c r="CH26" s="109">
        <f>IF(BM29=BQ26,BR26,0)</f>
        <v>0</v>
      </c>
      <c r="CJ26" s="109">
        <f>IF(BO29=BQ26,BT26,0)</f>
        <v>0</v>
      </c>
      <c r="CK26" s="109">
        <f>IF(BP29=BQ26,BU26,0)</f>
        <v>0</v>
      </c>
      <c r="CL26" s="110">
        <f>SUM(CH26:CK26)</f>
        <v>0</v>
      </c>
      <c r="CM26" s="110">
        <f>RANK(CL26,CL25:CL28)</f>
        <v>1</v>
      </c>
      <c r="CN26" s="109">
        <f>IF(BM29=BQ26,BX26,0)</f>
        <v>0</v>
      </c>
      <c r="CP26" s="109">
        <f>IF(BO29=BQ26,BZ26,0)</f>
        <v>0</v>
      </c>
      <c r="CQ26" s="109">
        <f>IF(BP29=BQ26,CA26,0)</f>
        <v>0</v>
      </c>
      <c r="CR26" s="110">
        <f>SUM(CN26:CQ26)</f>
        <v>0</v>
      </c>
      <c r="CS26" s="110">
        <f t="shared" ref="CS26:CS28" si="35">BQ26*10000+CG26*100+(5-CM26)+CR26/10</f>
        <v>4</v>
      </c>
      <c r="CT26" s="110">
        <f>RANK(CS26,CS25:CS28)</f>
        <v>1</v>
      </c>
      <c r="CU26" s="109">
        <f>IF(CU29=CT26,BM26,0)</f>
        <v>0</v>
      </c>
      <c r="CW26" s="109">
        <f>IF(CW29=CT26,BO26,0)</f>
        <v>0</v>
      </c>
      <c r="CX26" s="109">
        <f>IF(CX29=CT26,BP26,0)</f>
        <v>0</v>
      </c>
      <c r="CY26" s="110">
        <f t="shared" ref="CY26:CY29" si="36">SUM(CU26:CX26)</f>
        <v>0</v>
      </c>
      <c r="CZ26" s="110">
        <f t="shared" ref="CZ26:CZ28" si="37">(5-CT26)*10000+CY26*100+(5-BW26)+CB26/10+BA26/100</f>
        <v>40004.000003355002</v>
      </c>
      <c r="DA26" s="110">
        <f>RANK(CZ26,CZ25:CZ28)</f>
        <v>1</v>
      </c>
      <c r="DD26" s="123"/>
      <c r="DE26" s="84" t="str">
        <f>BC14</f>
        <v>2A</v>
      </c>
      <c r="DF26" s="58"/>
      <c r="DG26" s="91"/>
      <c r="DH26" s="79"/>
      <c r="DI26" s="76"/>
      <c r="DJ26" s="76" t="str">
        <f>INDEX(T,24+MONTH(U47),lang) &amp; " " &amp; DAY(U47) &amp; ", " &amp; YEAR(U47) &amp; "   " &amp; TEXT(HOUR(U47), "00") &amp; ":" &amp; TEXT(MINUTE(U47),"00")</f>
        <v>Jan 31, 2018   19:30</v>
      </c>
      <c r="DK26" s="76"/>
      <c r="DL26" s="76"/>
      <c r="DM26" s="85"/>
      <c r="DN26" s="77"/>
      <c r="DO26" s="76"/>
      <c r="DP26" s="76"/>
      <c r="DQ26" s="76"/>
      <c r="DR26" s="76"/>
      <c r="DS26" s="76"/>
    </row>
    <row r="27" spans="1:123">
      <c r="A27" s="64">
        <v>18</v>
      </c>
      <c r="B27" s="65" t="str">
        <f t="shared" si="0"/>
        <v>Sun</v>
      </c>
      <c r="C27" s="66" t="str">
        <f t="shared" si="1"/>
        <v>Jan 21, 2018</v>
      </c>
      <c r="D27" s="67">
        <f t="shared" si="2"/>
        <v>0.79166666666666663</v>
      </c>
      <c r="E27" s="68" t="str">
        <f>AN16</f>
        <v>Mauritania</v>
      </c>
      <c r="F27" s="56"/>
      <c r="G27" s="57"/>
      <c r="H27" s="74" t="str">
        <f>AN14</f>
        <v>Guinea</v>
      </c>
      <c r="I27" s="124" t="str">
        <f>INDEX(T,104,lang)</f>
        <v>Stade de Marrakech, Marrakech</v>
      </c>
      <c r="J27" s="125"/>
      <c r="K27" s="126"/>
      <c r="M27" s="24" t="str">
        <f>VLOOKUP(4,AM25:AW28,2,FALSE)</f>
        <v>Equatorial Guinea</v>
      </c>
      <c r="N27" s="31">
        <f>O27+P27+Q27</f>
        <v>0</v>
      </c>
      <c r="O27" s="31">
        <f>VLOOKUP(4,AM25:AW28,3,FALSE)</f>
        <v>0</v>
      </c>
      <c r="P27" s="31">
        <f>VLOOKUP(4,AM25:AW28,4,FALSE)</f>
        <v>0</v>
      </c>
      <c r="Q27" s="31">
        <f>VLOOKUP(4,AM25:AW28,5,FALSE)</f>
        <v>0</v>
      </c>
      <c r="R27" s="31" t="str">
        <f>VLOOKUP(4,AM25:AW28,6,FALSE) &amp; " - " &amp; VLOOKUP(4,AM25:AW28,7,FALSE)</f>
        <v>0 - 0</v>
      </c>
      <c r="S27" s="32">
        <f>O27*3+P27</f>
        <v>0</v>
      </c>
      <c r="U27" s="107">
        <f>DATE(2018,1,20)+TIME(8,30,0)+gmt_delta</f>
        <v>43120.8125</v>
      </c>
      <c r="V27" s="112" t="str">
        <f t="shared" si="3"/>
        <v/>
      </c>
      <c r="W27" s="112" t="str">
        <f t="shared" si="4"/>
        <v/>
      </c>
      <c r="X27" s="108">
        <f t="shared" si="5"/>
        <v>0</v>
      </c>
      <c r="Y27" s="107">
        <f t="shared" si="6"/>
        <v>0</v>
      </c>
      <c r="Z27" s="107">
        <f t="shared" si="7"/>
        <v>0</v>
      </c>
      <c r="AA27" s="107">
        <f t="shared" si="8"/>
        <v>4</v>
      </c>
      <c r="AB27" s="107">
        <f t="shared" si="9"/>
        <v>3</v>
      </c>
      <c r="AC27" s="107">
        <f t="shared" si="10"/>
        <v>4</v>
      </c>
      <c r="AD27" s="107" t="str">
        <f t="shared" si="11"/>
        <v>434</v>
      </c>
      <c r="AE27" s="107">
        <f t="shared" si="12"/>
        <v>0</v>
      </c>
      <c r="AF27" s="107">
        <f t="shared" si="13"/>
        <v>0</v>
      </c>
      <c r="AG27" s="107">
        <f t="shared" si="14"/>
        <v>0</v>
      </c>
      <c r="AH27" s="107" t="str">
        <f t="shared" si="18"/>
        <v>443</v>
      </c>
      <c r="AI27" s="107">
        <f t="shared" si="15"/>
        <v>0</v>
      </c>
      <c r="AJ27" s="107">
        <f t="shared" si="16"/>
        <v>0</v>
      </c>
      <c r="AK27" s="107">
        <f t="shared" si="17"/>
        <v>0</v>
      </c>
      <c r="AM27" s="107">
        <f t="shared" si="33"/>
        <v>3</v>
      </c>
      <c r="AN27" s="108" t="str">
        <f>INDEX(T,50,lang)</f>
        <v>Rwanda</v>
      </c>
      <c r="AO27" s="107">
        <f>COUNTIF($V$12:$W$35,"=" &amp; AN27 &amp; "_win")</f>
        <v>0</v>
      </c>
      <c r="AP27" s="107">
        <f>COUNTIF($V$12:$W$35,"=" &amp; AN27 &amp; "_draw")</f>
        <v>0</v>
      </c>
      <c r="AQ27" s="107">
        <f>COUNTIF($V$12:$W$35,"=" &amp; AN27 &amp; "_lose")</f>
        <v>0</v>
      </c>
      <c r="AR27" s="107">
        <f>SUMIF($E$10:$E$33,$AN27,$F$10:$F$33) + SUMIF($H$10:$H$33,$AN27,$G$10:$G$33)</f>
        <v>0</v>
      </c>
      <c r="AS27" s="107">
        <f>SUMIF($E$10:$E$33,$AN27,$G$10:$G$33) + SUMIF($H$10:$H$33,$AN27,$F$10:$F$33)</f>
        <v>0</v>
      </c>
      <c r="AT27" s="107">
        <f>AW27*10000</f>
        <v>0</v>
      </c>
      <c r="AU27" s="107">
        <f>AR27-AS27</f>
        <v>0</v>
      </c>
      <c r="AV27" s="107">
        <f>(AU27-AU30)/AU29</f>
        <v>0</v>
      </c>
      <c r="AW27" s="107">
        <f>AO27*3+AP27</f>
        <v>0</v>
      </c>
      <c r="AX27" s="107">
        <f>BD27/BD29*10+BE27/BE29+BH27/BH29*0.1+BF27/BF29*0.01</f>
        <v>0</v>
      </c>
      <c r="BA27" s="107">
        <f>VLOOKUP(AN27,db_fifarank,2,FALSE)/2000000</f>
        <v>1.3449999999999999E-4</v>
      </c>
      <c r="BB27" s="108">
        <f>10000000*AW27/AW29+100000*AX27/AX29+100*AV27+10*AR27/AR29+1*AX27/AX29+BA27</f>
        <v>1.3449999999999999E-4</v>
      </c>
      <c r="BC27" s="108" t="str">
        <f>IF(SUM(AO25:AQ28)&gt;0,M26,"3C")</f>
        <v>3C</v>
      </c>
      <c r="BD27" s="107">
        <f>SUMPRODUCT(($V$12:$V$35=AN27&amp;"_win")*($X$12:$X$35))+SUMPRODUCT(($W$12:$W$35=AN27&amp;"_win")*($X$12:$X$35))</f>
        <v>0</v>
      </c>
      <c r="BE27" s="109">
        <f>SUMPRODUCT(($V$12:$V$35=AN27&amp;"_draw")*($X$12:$X$35))+SUMPRODUCT(($W$12:$W$35=AN27&amp;"_draw")*($X$12:$X$35))</f>
        <v>0</v>
      </c>
      <c r="BF27" s="109">
        <f>SUMPRODUCT(($E$10:$E$33=AN27)*($X$12:$X$35)*($F$10:$F$33))+SUMPRODUCT(($H$10:$H$33=AN27)*($X$12:$X$35)*($G$10:$G$33))</f>
        <v>0</v>
      </c>
      <c r="BG27" s="109">
        <f>SUMPRODUCT(($E$10:$E$33=AN27)*($X$12:$X$35)*($G$10:$G$33))+SUMPRODUCT(($H$10:$H$33=AN27)*($X$12:$X$35)*($F$10:$F$33))</f>
        <v>0</v>
      </c>
      <c r="BH27" s="109">
        <f>BF27-BG27</f>
        <v>0</v>
      </c>
      <c r="BI27" s="108" t="str">
        <f t="shared" si="34"/>
        <v>Congo</v>
      </c>
      <c r="BJ27" s="108">
        <v>4</v>
      </c>
      <c r="BK27" s="108">
        <v>3</v>
      </c>
      <c r="BM27" s="109">
        <f>IFERROR(VLOOKUP("331",$AD$12:$AG$35,2,FALSE),0) + IFERROR(VLOOKUP("331",$AH$12:$AK$35,2,FALSE),0)</f>
        <v>0</v>
      </c>
      <c r="BN27" s="109">
        <f>IFERROR(VLOOKUP("332",$AD$12:$AG$35,2,FALSE),0) + IFERROR(VLOOKUP("332",$AH$12:$AK$35,2,FALSE),0)</f>
        <v>0</v>
      </c>
      <c r="BP27" s="109">
        <f>IFERROR(VLOOKUP("334",$AD$12:$AG$35,2,FALSE),0) + IFERROR(VLOOKUP("334",$AH$12:$AK$35,2,FALSE),0)</f>
        <v>0</v>
      </c>
      <c r="BQ27" s="110">
        <f>SUM(BM27:BP27)</f>
        <v>0</v>
      </c>
      <c r="BR27" s="109">
        <f>IFERROR(VLOOKUP("331",$AD$12:$AG$35,3,FALSE),0) + IFERROR(VLOOKUP("331",$AH$12:$AK$35,3,FALSE),0)</f>
        <v>0</v>
      </c>
      <c r="BS27" s="109">
        <f>IFERROR(VLOOKUP("332",$AD$12:$AG$35,3,FALSE),0) + IFERROR(VLOOKUP("332",$AH$12:$AK$35,3,FALSE),0)</f>
        <v>0</v>
      </c>
      <c r="BU27" s="109">
        <f>IFERROR(VLOOKUP("334",$AD$12:$AG$35,3,FALSE),0) + IFERROR(VLOOKUP("334",$AH$12:$AK$35,3,FALSE),0)</f>
        <v>0</v>
      </c>
      <c r="BV27" s="110">
        <f>SUM(BR27:BU27)</f>
        <v>0</v>
      </c>
      <c r="BW27" s="110">
        <f>RANK(BV27,BV25:BV28)</f>
        <v>1</v>
      </c>
      <c r="BX27" s="109">
        <f>IFERROR(VLOOKUP("331",$AD$12:$AG$35,4,FALSE),0) + IFERROR(VLOOKUP("331",$AH$12:$AK$35,4,FALSE),0)</f>
        <v>0</v>
      </c>
      <c r="BY27" s="109">
        <f>IFERROR(VLOOKUP("332",$AD$12:$AG$35,4,FALSE),0) + IFERROR(VLOOKUP("332",$AH$12:$AK$35,4,FALSE),0)</f>
        <v>0</v>
      </c>
      <c r="CA27" s="109">
        <f>IFERROR(VLOOKUP("334",$AD$12:$AG$35,4,FALSE),0) + IFERROR(VLOOKUP("334",$AH$12:$AK$35,4,FALSE),0)</f>
        <v>0</v>
      </c>
      <c r="CB27" s="110">
        <f>SUM(BX27:CA27)</f>
        <v>0</v>
      </c>
      <c r="CC27" s="109">
        <f>IF(BM29=BQ27,BM27,0)</f>
        <v>0</v>
      </c>
      <c r="CD27" s="109">
        <f>IF(BN29=BQ27,BN27,0)</f>
        <v>0</v>
      </c>
      <c r="CF27" s="109">
        <f>IF(BP29=BQ27,BP27,0)</f>
        <v>0</v>
      </c>
      <c r="CG27" s="110">
        <f>SUM(CC27:CF27)</f>
        <v>0</v>
      </c>
      <c r="CH27" s="109">
        <f>IF(BM29=BQ27,BR27,0)</f>
        <v>0</v>
      </c>
      <c r="CI27" s="109">
        <f>IF(BN29=BQ27,BS27,0)</f>
        <v>0</v>
      </c>
      <c r="CK27" s="109">
        <f>IF(BP29=BQ27,BU27,0)</f>
        <v>0</v>
      </c>
      <c r="CL27" s="110">
        <f>SUM(CH27:CK27)</f>
        <v>0</v>
      </c>
      <c r="CM27" s="110">
        <f>RANK(CL27,CL25:CL28)</f>
        <v>1</v>
      </c>
      <c r="CN27" s="109">
        <f>IF(BM29=BQ27,BX27,0)</f>
        <v>0</v>
      </c>
      <c r="CO27" s="109">
        <f>IF(BN29=BQ27,BY27,0)</f>
        <v>0</v>
      </c>
      <c r="CQ27" s="109">
        <f>IF(BP29=BQ27,CA27,0)</f>
        <v>0</v>
      </c>
      <c r="CR27" s="110">
        <f>SUM(CN27:CQ27)</f>
        <v>0</v>
      </c>
      <c r="CS27" s="110">
        <f t="shared" si="35"/>
        <v>4</v>
      </c>
      <c r="CT27" s="110">
        <f>RANK(CS27,CS25:CS28)</f>
        <v>1</v>
      </c>
      <c r="CU27" s="109">
        <f>IF(CU29=CT27,BM27,0)</f>
        <v>0</v>
      </c>
      <c r="CV27" s="109">
        <f>IF(CV29=CT27,BN27,0)</f>
        <v>0</v>
      </c>
      <c r="CX27" s="109">
        <f>IF(CX29=CT27,BP27,0)</f>
        <v>0</v>
      </c>
      <c r="CY27" s="110">
        <f t="shared" si="36"/>
        <v>0</v>
      </c>
      <c r="CZ27" s="110">
        <f t="shared" si="37"/>
        <v>40004.000001344997</v>
      </c>
      <c r="DA27" s="110">
        <f>RANK(CZ27,CZ25:CZ28)</f>
        <v>3</v>
      </c>
      <c r="DD27" s="76"/>
      <c r="DE27" s="76"/>
      <c r="DF27" s="76"/>
      <c r="DG27" s="76"/>
      <c r="DH27" s="77"/>
      <c r="DI27" s="76"/>
      <c r="DJ27" s="122">
        <v>30</v>
      </c>
      <c r="DK27" s="83" t="str">
        <f>W41</f>
        <v>Winner QF3</v>
      </c>
      <c r="DL27" s="60"/>
      <c r="DM27" s="90"/>
      <c r="DN27" s="80"/>
    </row>
    <row r="28" spans="1:123">
      <c r="A28" s="64">
        <v>19</v>
      </c>
      <c r="B28" s="65" t="str">
        <f t="shared" si="0"/>
        <v>Mon</v>
      </c>
      <c r="C28" s="66" t="str">
        <f t="shared" si="1"/>
        <v>Jan 22, 2018</v>
      </c>
      <c r="D28" s="67">
        <f t="shared" si="2"/>
        <v>0.79166666666666663</v>
      </c>
      <c r="E28" s="68" t="str">
        <f>AN21</f>
        <v>Uganda</v>
      </c>
      <c r="F28" s="56"/>
      <c r="G28" s="57"/>
      <c r="H28" s="74" t="str">
        <f>AN19</f>
        <v>Ivory Coast</v>
      </c>
      <c r="I28" s="124" t="str">
        <f>INDEX(T,104,lang)</f>
        <v>Stade de Marrakech, Marrakech</v>
      </c>
      <c r="J28" s="125"/>
      <c r="K28" s="126"/>
      <c r="M28" s="33"/>
      <c r="N28" s="34"/>
      <c r="O28" s="34"/>
      <c r="P28" s="34"/>
      <c r="Q28" s="34"/>
      <c r="R28" s="34"/>
      <c r="S28" s="34"/>
      <c r="U28" s="107">
        <f>DATE(2018,1,21)+TIME(8,0,0)+gmt_delta</f>
        <v>43121.791666666672</v>
      </c>
      <c r="V28" s="112" t="str">
        <f t="shared" si="3"/>
        <v/>
      </c>
      <c r="W28" s="112" t="str">
        <f t="shared" si="4"/>
        <v/>
      </c>
      <c r="X28" s="108">
        <f t="shared" si="5"/>
        <v>0</v>
      </c>
      <c r="Y28" s="107">
        <f t="shared" si="6"/>
        <v>0</v>
      </c>
      <c r="Z28" s="107">
        <f t="shared" si="7"/>
        <v>0</v>
      </c>
      <c r="AA28" s="107">
        <f t="shared" si="8"/>
        <v>1</v>
      </c>
      <c r="AB28" s="107">
        <f t="shared" si="9"/>
        <v>3</v>
      </c>
      <c r="AC28" s="107">
        <f t="shared" si="10"/>
        <v>1</v>
      </c>
      <c r="AD28" s="107" t="str">
        <f t="shared" si="11"/>
        <v>131</v>
      </c>
      <c r="AE28" s="107">
        <f t="shared" si="12"/>
        <v>0</v>
      </c>
      <c r="AF28" s="107">
        <f t="shared" si="13"/>
        <v>0</v>
      </c>
      <c r="AG28" s="107">
        <f t="shared" si="14"/>
        <v>0</v>
      </c>
      <c r="AH28" s="107" t="str">
        <f t="shared" si="18"/>
        <v>113</v>
      </c>
      <c r="AI28" s="107">
        <f t="shared" si="15"/>
        <v>0</v>
      </c>
      <c r="AJ28" s="107">
        <f t="shared" si="16"/>
        <v>0</v>
      </c>
      <c r="AK28" s="107">
        <f t="shared" si="17"/>
        <v>0</v>
      </c>
      <c r="AM28" s="107">
        <f t="shared" si="33"/>
        <v>4</v>
      </c>
      <c r="AN28" s="108" t="str">
        <f>INDEX(T,42,lang)</f>
        <v>Equatorial Guinea</v>
      </c>
      <c r="AO28" s="107">
        <f>COUNTIF($V$12:$W$35,"=" &amp; AN28 &amp; "_win")</f>
        <v>0</v>
      </c>
      <c r="AP28" s="107">
        <f>COUNTIF($V$12:$W$35,"=" &amp; AN28 &amp; "_draw")</f>
        <v>0</v>
      </c>
      <c r="AQ28" s="107">
        <f>COUNTIF($V$12:$W$35,"=" &amp; AN28 &amp; "_lose")</f>
        <v>0</v>
      </c>
      <c r="AR28" s="107">
        <f>SUMIF($E$10:$E$33,$AN28,$F$10:$F$33) + SUMIF($H$10:$H$33,$AN28,$G$10:$G$33)</f>
        <v>0</v>
      </c>
      <c r="AS28" s="107">
        <f>SUMIF($E$10:$E$33,$AN28,$G$10:$G$33) + SUMIF($H$10:$H$33,$AN28,$F$10:$F$33)</f>
        <v>0</v>
      </c>
      <c r="AT28" s="107">
        <f>AW28*10000</f>
        <v>0</v>
      </c>
      <c r="AU28" s="107">
        <f>AR28-AS28</f>
        <v>0</v>
      </c>
      <c r="AV28" s="107">
        <f>(AU28-AU30)/AU29</f>
        <v>0</v>
      </c>
      <c r="AW28" s="107">
        <f>AO28*3+AP28</f>
        <v>0</v>
      </c>
      <c r="AX28" s="107">
        <f>BD28/BD29*10+BE28/BE29+BH28/BH29*0.1+BF28/BF29*0.01</f>
        <v>0</v>
      </c>
      <c r="BA28" s="107">
        <f>VLOOKUP(AN28,db_fifarank,2,FALSE)/2000000</f>
        <v>9.3499999999999996E-5</v>
      </c>
      <c r="BB28" s="108">
        <f>10000000*AW28/AW29+100000*AX28/AX29+100*AV28+10*AR28/AR29+1*AX28/AX29+BA28</f>
        <v>9.3499999999999996E-5</v>
      </c>
      <c r="BD28" s="107">
        <f>SUMPRODUCT(($V$12:$V$35=AN28&amp;"_win")*($X$12:$X$35))+SUMPRODUCT(($W$12:$W$35=AN28&amp;"_win")*($X$12:$X$35))</f>
        <v>0</v>
      </c>
      <c r="BE28" s="109">
        <f>SUMPRODUCT(($V$12:$V$35=AN28&amp;"_draw")*($X$12:$X$35))+SUMPRODUCT(($W$12:$W$35=AN28&amp;"_draw")*($X$12:$X$35))</f>
        <v>0</v>
      </c>
      <c r="BF28" s="109">
        <f>SUMPRODUCT(($E$10:$E$33=AN28)*($X$12:$X$35)*($F$10:$F$33))+SUMPRODUCT(($H$10:$H$33=AN28)*($X$12:$X$35)*($G$10:$G$33))</f>
        <v>0</v>
      </c>
      <c r="BG28" s="109">
        <f>SUMPRODUCT(($E$10:$E$33=AN28)*($X$12:$X$35)*($G$10:$G$33))+SUMPRODUCT(($H$10:$H$33=AN28)*($X$12:$X$35)*($F$10:$F$33))</f>
        <v>0</v>
      </c>
      <c r="BH28" s="109">
        <f>BF28-BG28</f>
        <v>0</v>
      </c>
      <c r="BI28" s="108" t="str">
        <f t="shared" si="34"/>
        <v>Burkina Faso</v>
      </c>
      <c r="BJ28" s="108">
        <v>4</v>
      </c>
      <c r="BK28" s="108">
        <v>4</v>
      </c>
      <c r="BM28" s="109">
        <f>IFERROR(VLOOKUP("341",$AD$12:$AG$35,2,FALSE),0) + IFERROR(VLOOKUP("341",$AH$12:$AK$35,2,FALSE),0)</f>
        <v>0</v>
      </c>
      <c r="BN28" s="109">
        <f>IFERROR(VLOOKUP("342",$AD$12:$AG$35,2,FALSE),0) + IFERROR(VLOOKUP("342",$AH$12:$AK$35,2,FALSE),0)</f>
        <v>0</v>
      </c>
      <c r="BO28" s="109">
        <f>IFERROR(VLOOKUP("343",$AD$12:$AG$35,2,FALSE),0) + IFERROR(VLOOKUP("343",$AH$12:$AK$35,2,FALSE),0)</f>
        <v>0</v>
      </c>
      <c r="BQ28" s="110">
        <f>SUM(BM28:BP28)</f>
        <v>0</v>
      </c>
      <c r="BR28" s="109">
        <f>IFERROR(VLOOKUP("341",$AD$12:$AG$35,3,FALSE),0) + IFERROR(VLOOKUP("341",$AH$12:$AK$35,3,FALSE),0)</f>
        <v>0</v>
      </c>
      <c r="BS28" s="109">
        <f>IFERROR(VLOOKUP("342",$AD$12:$AG$35,3,FALSE),0) + IFERROR(VLOOKUP("342",$AH$12:$AK$35,3,FALSE),0)</f>
        <v>0</v>
      </c>
      <c r="BT28" s="109">
        <f>IFERROR(VLOOKUP("343",$AD$12:$AG$35,3,FALSE),0) + IFERROR(VLOOKUP("343",$AH$12:$AK$35,3,FALSE),0)</f>
        <v>0</v>
      </c>
      <c r="BV28" s="110">
        <f>SUM(BR28:BU28)</f>
        <v>0</v>
      </c>
      <c r="BW28" s="110">
        <f>RANK(BV28,BV25:BV28)</f>
        <v>1</v>
      </c>
      <c r="BX28" s="109">
        <f>IFERROR(VLOOKUP("341",$AD$12:$AG$35,4,FALSE),0) + IFERROR(VLOOKUP("341",$AH$12:$AK$35,4,FALSE),0)</f>
        <v>0</v>
      </c>
      <c r="BY28" s="109">
        <f>IFERROR(VLOOKUP("342",$AD$12:$AG$35,4,FALSE),0) + IFERROR(VLOOKUP("342",$AH$12:$AK$35,4,FALSE),0)</f>
        <v>0</v>
      </c>
      <c r="BZ28" s="109">
        <f>IFERROR(VLOOKUP("343",$AD$12:$AG$35,4,FALSE),0) + IFERROR(VLOOKUP("343",$AH$12:$AK$35,4,FALSE),0)</f>
        <v>0</v>
      </c>
      <c r="CB28" s="110">
        <f>SUM(BX28:CA28)</f>
        <v>0</v>
      </c>
      <c r="CC28" s="109">
        <f>IF(BM29=BQ28,BM28,0)</f>
        <v>0</v>
      </c>
      <c r="CD28" s="109">
        <f>IF(BN29=BQ28,BN28,0)</f>
        <v>0</v>
      </c>
      <c r="CE28" s="109">
        <f>IF(BO29=BQ28,BO28,0)</f>
        <v>0</v>
      </c>
      <c r="CG28" s="110">
        <f>SUM(CC28:CF28)</f>
        <v>0</v>
      </c>
      <c r="CH28" s="109">
        <f>IF(BM29=BQ28,BR28,0)</f>
        <v>0</v>
      </c>
      <c r="CI28" s="109">
        <f>IF(BN29=BQ28,BS28,0)</f>
        <v>0</v>
      </c>
      <c r="CJ28" s="109">
        <f>IF(BO29=BQ28,BT28,0)</f>
        <v>0</v>
      </c>
      <c r="CL28" s="110">
        <f>SUM(CH28:CK28)</f>
        <v>0</v>
      </c>
      <c r="CM28" s="110">
        <f>RANK(CL28,CL25:CL28)</f>
        <v>1</v>
      </c>
      <c r="CN28" s="109">
        <f>IF(BM29=BQ28,BX28,0)</f>
        <v>0</v>
      </c>
      <c r="CO28" s="109">
        <f>IF(BN29=BQ28,BY28,0)</f>
        <v>0</v>
      </c>
      <c r="CP28" s="109">
        <f>IF(BO29=BQ28,BZ28,0)</f>
        <v>0</v>
      </c>
      <c r="CR28" s="110">
        <f>SUM(CN28:CQ28)</f>
        <v>0</v>
      </c>
      <c r="CS28" s="110">
        <f t="shared" si="35"/>
        <v>4</v>
      </c>
      <c r="CT28" s="110">
        <f>RANK(CS28,CS25:CS28)</f>
        <v>1</v>
      </c>
      <c r="CU28" s="109">
        <f>IF(CU29=CT28,BM28,0)</f>
        <v>0</v>
      </c>
      <c r="CV28" s="109">
        <f>IF(CV29=CT28,BN28,0)</f>
        <v>0</v>
      </c>
      <c r="CW28" s="109">
        <f>IF(CW29=CT28,BO28,0)</f>
        <v>0</v>
      </c>
      <c r="CY28" s="110">
        <f t="shared" si="36"/>
        <v>0</v>
      </c>
      <c r="CZ28" s="110">
        <f t="shared" si="37"/>
        <v>40004.000000934997</v>
      </c>
      <c r="DA28" s="110">
        <f>RANK(CZ28,CZ25:CZ28)</f>
        <v>4</v>
      </c>
      <c r="DD28" s="76" t="str">
        <f>INDEX(T,24+MONTH(U42),lang) &amp; " " &amp; DAY(U42) &amp; ", " &amp; YEAR(U42) &amp; "   " &amp; TEXT(HOUR(U42), "00") &amp; ":" &amp; TEXT(MINUTE(U42),"00")</f>
        <v>Jan 28, 2018   19:30</v>
      </c>
      <c r="DE28" s="76"/>
      <c r="DF28" s="76"/>
      <c r="DG28" s="85"/>
      <c r="DH28" s="77"/>
      <c r="DI28" s="102"/>
      <c r="DJ28" s="123"/>
      <c r="DK28" s="84" t="str">
        <f>W40</f>
        <v>Winner QF2</v>
      </c>
      <c r="DL28" s="58"/>
      <c r="DM28" s="91"/>
      <c r="DN28" s="81"/>
    </row>
    <row r="29" spans="1:123" ht="12.75" customHeight="1">
      <c r="A29" s="64">
        <v>20</v>
      </c>
      <c r="B29" s="65" t="str">
        <f t="shared" si="0"/>
        <v>Mon</v>
      </c>
      <c r="C29" s="66" t="str">
        <f t="shared" si="1"/>
        <v>Jan 22, 2018</v>
      </c>
      <c r="D29" s="67">
        <f t="shared" si="2"/>
        <v>0.79166666666666663</v>
      </c>
      <c r="E29" s="68" t="str">
        <f>AN22</f>
        <v>Namibia</v>
      </c>
      <c r="F29" s="56"/>
      <c r="G29" s="57"/>
      <c r="H29" s="74" t="str">
        <f>AN20</f>
        <v>Zambia</v>
      </c>
      <c r="I29" s="124" t="str">
        <f>INDEX(T,103,lang)</f>
        <v>Stade Mohamed V, Casablanca</v>
      </c>
      <c r="J29" s="125"/>
      <c r="K29" s="126"/>
      <c r="M29" s="54" t="str">
        <f>INDEX(T,9,lang) &amp; " " &amp; "D"</f>
        <v>Group D</v>
      </c>
      <c r="N29" s="55" t="str">
        <f>INDEX(T,10,lang)</f>
        <v>PL</v>
      </c>
      <c r="O29" s="55" t="str">
        <f>INDEX(T,11,lang)</f>
        <v>W</v>
      </c>
      <c r="P29" s="55" t="str">
        <f>INDEX(T,12,lang)</f>
        <v>DRAW</v>
      </c>
      <c r="Q29" s="55" t="str">
        <f>INDEX(T,13,lang)</f>
        <v>L</v>
      </c>
      <c r="R29" s="55" t="str">
        <f>INDEX(T,14,lang)</f>
        <v>GF - GA</v>
      </c>
      <c r="S29" s="114" t="str">
        <f>INDEX(T,15,lang)</f>
        <v>PNT</v>
      </c>
      <c r="U29" s="107">
        <f>DATE(2018,1,21)+TIME(8,0,0)+gmt_delta</f>
        <v>43121.791666666672</v>
      </c>
      <c r="V29" s="112" t="str">
        <f t="shared" si="3"/>
        <v/>
      </c>
      <c r="W29" s="112" t="str">
        <f t="shared" si="4"/>
        <v/>
      </c>
      <c r="X29" s="108">
        <f t="shared" si="5"/>
        <v>0</v>
      </c>
      <c r="Y29" s="107">
        <f t="shared" si="6"/>
        <v>0</v>
      </c>
      <c r="Z29" s="107">
        <f t="shared" si="7"/>
        <v>0</v>
      </c>
      <c r="AA29" s="107">
        <f t="shared" si="8"/>
        <v>1</v>
      </c>
      <c r="AB29" s="107">
        <f t="shared" si="9"/>
        <v>4</v>
      </c>
      <c r="AC29" s="107">
        <f t="shared" si="10"/>
        <v>2</v>
      </c>
      <c r="AD29" s="107" t="str">
        <f t="shared" si="11"/>
        <v>142</v>
      </c>
      <c r="AE29" s="107">
        <f t="shared" si="12"/>
        <v>0</v>
      </c>
      <c r="AF29" s="107">
        <f t="shared" si="13"/>
        <v>0</v>
      </c>
      <c r="AG29" s="107">
        <f t="shared" si="14"/>
        <v>0</v>
      </c>
      <c r="AH29" s="107" t="str">
        <f t="shared" si="18"/>
        <v>124</v>
      </c>
      <c r="AI29" s="107">
        <f t="shared" si="15"/>
        <v>0</v>
      </c>
      <c r="AJ29" s="107">
        <f t="shared" si="16"/>
        <v>0</v>
      </c>
      <c r="AK29" s="107">
        <f t="shared" si="17"/>
        <v>0</v>
      </c>
      <c r="AO29" s="107">
        <f t="shared" ref="AO29:AX29" si="38">MAX(AO25:AO28)-MIN(AO25:AO28)+1</f>
        <v>1</v>
      </c>
      <c r="AP29" s="107">
        <f t="shared" si="38"/>
        <v>1</v>
      </c>
      <c r="AQ29" s="107">
        <f t="shared" si="38"/>
        <v>1</v>
      </c>
      <c r="AR29" s="107">
        <f t="shared" si="38"/>
        <v>1</v>
      </c>
      <c r="AS29" s="107">
        <f t="shared" si="38"/>
        <v>1</v>
      </c>
      <c r="AT29" s="107">
        <f>MAX(AT25:AT28)-AT30+1</f>
        <v>1</v>
      </c>
      <c r="AU29" s="107">
        <f>MAX(AU25:AU28)-AU30+1</f>
        <v>1</v>
      </c>
      <c r="AW29" s="107">
        <f t="shared" si="38"/>
        <v>1</v>
      </c>
      <c r="AX29" s="107">
        <f t="shared" si="38"/>
        <v>1</v>
      </c>
      <c r="BD29" s="107">
        <f>MAX(BD25:BD28)-MIN(BD25:BD28)+1</f>
        <v>1</v>
      </c>
      <c r="BE29" s="107">
        <f>MAX(BE25:BE28)-MIN(BE25:BE28)+1</f>
        <v>1</v>
      </c>
      <c r="BF29" s="107">
        <f>MAX(BF25:BF28)-MIN(BF25:BF28)+1</f>
        <v>1</v>
      </c>
      <c r="BG29" s="107">
        <f>MAX(BG25:BG28)-MIN(BG25:BG28)+1</f>
        <v>1</v>
      </c>
      <c r="BH29" s="107">
        <f>MAX(BH25:BH28)-MIN(BH25:BH28)+1</f>
        <v>1</v>
      </c>
      <c r="BM29" s="107">
        <f>BQ25</f>
        <v>0</v>
      </c>
      <c r="BN29" s="107">
        <f>BQ26</f>
        <v>0</v>
      </c>
      <c r="BO29" s="107">
        <f>BQ27</f>
        <v>0</v>
      </c>
      <c r="BP29" s="107">
        <f>BQ28</f>
        <v>0</v>
      </c>
      <c r="BR29" s="107"/>
      <c r="BS29" s="107"/>
      <c r="BT29" s="107"/>
      <c r="BU29" s="107"/>
      <c r="BX29" s="107"/>
      <c r="BY29" s="107"/>
      <c r="BZ29" s="107"/>
      <c r="CA29" s="107"/>
      <c r="CC29" s="107"/>
      <c r="CD29" s="107"/>
      <c r="CE29" s="107"/>
      <c r="CF29" s="107"/>
      <c r="CH29" s="107"/>
      <c r="CI29" s="107"/>
      <c r="CJ29" s="107"/>
      <c r="CK29" s="107"/>
      <c r="CN29" s="107"/>
      <c r="CO29" s="107"/>
      <c r="CP29" s="107"/>
      <c r="CQ29" s="107"/>
      <c r="CU29" s="107">
        <f>CT25</f>
        <v>1</v>
      </c>
      <c r="CV29" s="107">
        <f>CT26</f>
        <v>1</v>
      </c>
      <c r="CW29" s="107">
        <f>CT27</f>
        <v>1</v>
      </c>
      <c r="CX29" s="107">
        <f>CT28</f>
        <v>1</v>
      </c>
      <c r="CY29" s="110">
        <f t="shared" si="36"/>
        <v>4</v>
      </c>
      <c r="DD29" s="122">
        <v>27</v>
      </c>
      <c r="DE29" s="83" t="str">
        <f>BC25</f>
        <v>1C</v>
      </c>
      <c r="DF29" s="60"/>
      <c r="DG29" s="90"/>
      <c r="DH29" s="80"/>
      <c r="DJ29" s="76"/>
      <c r="DK29" s="76"/>
      <c r="DL29" s="76"/>
      <c r="DM29" s="76"/>
      <c r="DP29" s="76" t="str">
        <f>INDEX(T,24+MONTH(U52),lang) &amp; " " &amp; DAY(U52) &amp; ", " &amp; YEAR(U52) &amp; "   " &amp; TEXT(HOUR(U52), "00") &amp; ":" &amp; TEXT(MINUTE(U52),"00")</f>
        <v>Feb 3, 2018   19:00</v>
      </c>
      <c r="DQ29" s="76"/>
      <c r="DR29" s="76"/>
      <c r="DS29" s="85"/>
    </row>
    <row r="30" spans="1:123" ht="12.75" customHeight="1">
      <c r="A30" s="64">
        <v>21</v>
      </c>
      <c r="B30" s="65" t="str">
        <f t="shared" si="0"/>
        <v>Tue</v>
      </c>
      <c r="C30" s="66" t="str">
        <f t="shared" si="1"/>
        <v>Jan 23, 2018</v>
      </c>
      <c r="D30" s="67">
        <f t="shared" si="2"/>
        <v>0.79166666666666663</v>
      </c>
      <c r="E30" s="68" t="str">
        <f>AN27</f>
        <v>Rwanda</v>
      </c>
      <c r="F30" s="56"/>
      <c r="G30" s="57"/>
      <c r="H30" s="74" t="str">
        <f>AN25</f>
        <v>Libya</v>
      </c>
      <c r="I30" s="124" t="str">
        <f>INDEX(T,105,lang)</f>
        <v>Stade Ibn Batouta, Tangier</v>
      </c>
      <c r="J30" s="127"/>
      <c r="K30" s="128"/>
      <c r="M30" s="22" t="str">
        <f>VLOOKUP(1,AM31:AW34,2,FALSE)</f>
        <v>Burkina Faso</v>
      </c>
      <c r="N30" s="27">
        <f>O30+P30+Q30</f>
        <v>0</v>
      </c>
      <c r="O30" s="27">
        <f>VLOOKUP(1,AM31:AW34,3,FALSE)</f>
        <v>0</v>
      </c>
      <c r="P30" s="27">
        <f>VLOOKUP(1,AM31:AW34,4,FALSE)</f>
        <v>0</v>
      </c>
      <c r="Q30" s="27">
        <f>VLOOKUP(1,AM31:AW34,5,FALSE)</f>
        <v>0</v>
      </c>
      <c r="R30" s="27" t="str">
        <f>VLOOKUP(1,AM31:AW34,6,FALSE) &amp; " - " &amp; VLOOKUP(1,AM31:AW34,7,FALSE)</f>
        <v>0 - 0</v>
      </c>
      <c r="S30" s="28">
        <f>O30*3+P30</f>
        <v>0</v>
      </c>
      <c r="U30" s="107">
        <f>DATE(2018,1,22)+TIME(8,0,0)+gmt_delta</f>
        <v>43122.791666666672</v>
      </c>
      <c r="V30" s="112" t="str">
        <f t="shared" si="3"/>
        <v/>
      </c>
      <c r="W30" s="112" t="str">
        <f t="shared" si="4"/>
        <v/>
      </c>
      <c r="X30" s="108">
        <f t="shared" si="5"/>
        <v>0</v>
      </c>
      <c r="Y30" s="107">
        <f t="shared" si="6"/>
        <v>0</v>
      </c>
      <c r="Z30" s="107">
        <f t="shared" si="7"/>
        <v>0</v>
      </c>
      <c r="AA30" s="107">
        <f t="shared" si="8"/>
        <v>2</v>
      </c>
      <c r="AB30" s="107">
        <f t="shared" si="9"/>
        <v>3</v>
      </c>
      <c r="AC30" s="107">
        <f t="shared" si="10"/>
        <v>1</v>
      </c>
      <c r="AD30" s="107" t="str">
        <f t="shared" si="11"/>
        <v>231</v>
      </c>
      <c r="AE30" s="107">
        <f t="shared" si="12"/>
        <v>0</v>
      </c>
      <c r="AF30" s="107">
        <f t="shared" si="13"/>
        <v>0</v>
      </c>
      <c r="AG30" s="107">
        <f t="shared" si="14"/>
        <v>0</v>
      </c>
      <c r="AH30" s="107" t="str">
        <f t="shared" si="18"/>
        <v>213</v>
      </c>
      <c r="AI30" s="107">
        <f t="shared" si="15"/>
        <v>0</v>
      </c>
      <c r="AJ30" s="107">
        <f t="shared" si="16"/>
        <v>0</v>
      </c>
      <c r="AK30" s="107">
        <f t="shared" si="17"/>
        <v>0</v>
      </c>
      <c r="AT30" s="107">
        <f>MIN(AT25:AT28)</f>
        <v>0</v>
      </c>
      <c r="AU30" s="107">
        <f>MIN(AU25:AU28)</f>
        <v>0</v>
      </c>
      <c r="DD30" s="123"/>
      <c r="DE30" s="84" t="str">
        <f>BC32</f>
        <v>2D</v>
      </c>
      <c r="DF30" s="58"/>
      <c r="DG30" s="91"/>
      <c r="DH30" s="76"/>
      <c r="DJ30" s="76"/>
      <c r="DK30" s="76"/>
      <c r="DL30" s="76"/>
      <c r="DM30" s="76"/>
      <c r="DN30" s="76"/>
      <c r="DP30" s="122">
        <v>31</v>
      </c>
      <c r="DQ30" s="83" t="str">
        <f>W48</f>
        <v>Loser SF1</v>
      </c>
      <c r="DR30" s="60"/>
      <c r="DS30" s="90"/>
    </row>
    <row r="31" spans="1:123" ht="12.75" customHeight="1">
      <c r="A31" s="64">
        <v>22</v>
      </c>
      <c r="B31" s="65" t="str">
        <f t="shared" si="0"/>
        <v>Tue</v>
      </c>
      <c r="C31" s="66" t="str">
        <f t="shared" si="1"/>
        <v>Jan 23, 2018</v>
      </c>
      <c r="D31" s="67">
        <f t="shared" si="2"/>
        <v>0.79166666666666663</v>
      </c>
      <c r="E31" s="68" t="str">
        <f>AN28</f>
        <v>Equatorial Guinea</v>
      </c>
      <c r="F31" s="56"/>
      <c r="G31" s="57"/>
      <c r="H31" s="74" t="str">
        <f>AN26</f>
        <v>Nigeria</v>
      </c>
      <c r="I31" s="124" t="str">
        <f>INDEX(T,106,lang)</f>
        <v>Stade Adrar, Agadir</v>
      </c>
      <c r="J31" s="127"/>
      <c r="K31" s="128"/>
      <c r="M31" s="23" t="str">
        <f>VLOOKUP(2,AM31:AW34,2,FALSE)</f>
        <v>Cameroon</v>
      </c>
      <c r="N31" s="29">
        <f>O31+P31+Q31</f>
        <v>0</v>
      </c>
      <c r="O31" s="29">
        <f>VLOOKUP(2,AM31:AW34,3,FALSE)</f>
        <v>0</v>
      </c>
      <c r="P31" s="29">
        <f>VLOOKUP(2,AM31:AW34,4,FALSE)</f>
        <v>0</v>
      </c>
      <c r="Q31" s="29">
        <f>VLOOKUP(2,AM31:AW34,5,FALSE)</f>
        <v>0</v>
      </c>
      <c r="R31" s="29" t="str">
        <f>VLOOKUP(2,AM31:AW34,6,FALSE) &amp; " - " &amp; VLOOKUP(2,AM31:AW34,7,FALSE)</f>
        <v>0 - 0</v>
      </c>
      <c r="S31" s="30">
        <f>O31*3+P31</f>
        <v>0</v>
      </c>
      <c r="U31" s="107">
        <f>DATE(2018,1,22)+TIME(8,0,0)+gmt_delta</f>
        <v>43122.791666666672</v>
      </c>
      <c r="V31" s="112" t="str">
        <f t="shared" si="3"/>
        <v/>
      </c>
      <c r="W31" s="112" t="str">
        <f t="shared" si="4"/>
        <v/>
      </c>
      <c r="X31" s="108">
        <f t="shared" si="5"/>
        <v>0</v>
      </c>
      <c r="Y31" s="107">
        <f t="shared" si="6"/>
        <v>0</v>
      </c>
      <c r="Z31" s="107">
        <f t="shared" si="7"/>
        <v>0</v>
      </c>
      <c r="AA31" s="107">
        <f t="shared" si="8"/>
        <v>2</v>
      </c>
      <c r="AB31" s="107">
        <f t="shared" si="9"/>
        <v>4</v>
      </c>
      <c r="AC31" s="107">
        <f t="shared" si="10"/>
        <v>2</v>
      </c>
      <c r="AD31" s="107" t="str">
        <f t="shared" si="11"/>
        <v>242</v>
      </c>
      <c r="AE31" s="107">
        <f t="shared" si="12"/>
        <v>0</v>
      </c>
      <c r="AF31" s="107">
        <f t="shared" si="13"/>
        <v>0</v>
      </c>
      <c r="AG31" s="107">
        <f t="shared" si="14"/>
        <v>0</v>
      </c>
      <c r="AH31" s="107" t="str">
        <f t="shared" si="18"/>
        <v>224</v>
      </c>
      <c r="AI31" s="107">
        <f t="shared" si="15"/>
        <v>0</v>
      </c>
      <c r="AJ31" s="107">
        <f t="shared" si="16"/>
        <v>0</v>
      </c>
      <c r="AK31" s="107">
        <f t="shared" si="17"/>
        <v>0</v>
      </c>
      <c r="AM31" s="107">
        <f>DA31</f>
        <v>4</v>
      </c>
      <c r="AN31" s="108" t="str">
        <f>INDEX(T,38,lang)</f>
        <v>Angola</v>
      </c>
      <c r="AO31" s="107">
        <f>COUNTIF($V$12:$W$35,"=" &amp; AN31 &amp; "_win")</f>
        <v>0</v>
      </c>
      <c r="AP31" s="107">
        <f>COUNTIF($V$12:$W$35,"=" &amp; AN31 &amp; "_draw")</f>
        <v>0</v>
      </c>
      <c r="AQ31" s="107">
        <f>COUNTIF($V$12:$W$35,"=" &amp; AN31 &amp; "_lose")</f>
        <v>0</v>
      </c>
      <c r="AR31" s="107">
        <f>SUMIF($E$10:$E$33,$AN31,$F$10:$F$33) + SUMIF($H$10:$H$33,$AN31,$G$10:$G$33)</f>
        <v>0</v>
      </c>
      <c r="AS31" s="107">
        <f>SUMIF($E$10:$E$33,$AN31,$G$10:$G$33) + SUMIF($H$10:$H$33,$AN31,$F$10:$F$33)</f>
        <v>0</v>
      </c>
      <c r="AT31" s="107">
        <f>AW31*10000</f>
        <v>0</v>
      </c>
      <c r="AU31" s="107">
        <f>AR31-AS31</f>
        <v>0</v>
      </c>
      <c r="AV31" s="107">
        <f>(AU31-AU36)/AU35</f>
        <v>0</v>
      </c>
      <c r="AW31" s="107">
        <f>AO31*3+AP31</f>
        <v>0</v>
      </c>
      <c r="AX31" s="107">
        <f>BD31/BD35*10+BE31/BE35+BH31/BH35*0.1+BF31/BF35*0.01</f>
        <v>0</v>
      </c>
      <c r="BA31" s="107">
        <f>VLOOKUP(AN31,db_fifarank,2,FALSE)/2000000</f>
        <v>1.005E-4</v>
      </c>
      <c r="BB31" s="108">
        <f>10000000*AW31/AW35+100000*AX31/AX35+100*AV31+10*AR31/AR35+1*AX31/AX35+BA31</f>
        <v>1.005E-4</v>
      </c>
      <c r="BC31" s="108" t="str">
        <f>IF(SUM(AO31:AQ34)=12,M30,INDEX(T,76,lang))</f>
        <v>1D</v>
      </c>
      <c r="BD31" s="107">
        <f>SUMPRODUCT(($V$12:$V$35=AN31&amp;"_win")*($X$12:$X$35))+SUMPRODUCT(($W$12:$W$35=AN31&amp;"_win")*($X$12:$X$35))</f>
        <v>0</v>
      </c>
      <c r="BE31" s="109">
        <f>SUMPRODUCT(($V$12:$V$35=AN31&amp;"_draw")*($X$12:$X$35))+SUMPRODUCT(($W$12:$W$35=AN31&amp;"_draw")*($X$12:$X$35))</f>
        <v>0</v>
      </c>
      <c r="BF31" s="109">
        <f>SUMPRODUCT(($E$10:$E$33=AN31)*($X$12:$X$35)*($F$10:$F$33))+SUMPRODUCT(($H$10:$H$33=AN31)*($X$12:$X$35)*($G$10:$G$33))</f>
        <v>0</v>
      </c>
      <c r="BG31" s="109">
        <f>SUMPRODUCT(($E$10:$E$33=AN31)*($X$12:$X$35)*($G$10:$G$33))+SUMPRODUCT(($H$10:$H$33=AN31)*($X$12:$X$35)*($F$10:$F$33))</f>
        <v>0</v>
      </c>
      <c r="BH31" s="109">
        <f>BF31-BG31</f>
        <v>0</v>
      </c>
      <c r="BN31" s="109">
        <f>IFERROR(VLOOKUP("412",$AD$12:$AG$35,2,FALSE),0) + IFERROR(VLOOKUP("412",$AH$12:$AK$35,2,FALSE),0)</f>
        <v>0</v>
      </c>
      <c r="BO31" s="109">
        <f>IFERROR(VLOOKUP("413",$AD$12:$AG$35,2,FALSE),0) + IFERROR(VLOOKUP("413",$AH$12:$AK$35,2,FALSE),0)</f>
        <v>0</v>
      </c>
      <c r="BP31" s="109">
        <f>IFERROR(VLOOKUP("414",$AD$12:$AG$35,2,FALSE),0) + IFERROR(VLOOKUP("414",$AH$12:$AK$35,2,FALSE),0)</f>
        <v>0</v>
      </c>
      <c r="BQ31" s="110">
        <f>SUM(BM31:BP31)</f>
        <v>0</v>
      </c>
      <c r="BS31" s="109">
        <f>IFERROR(VLOOKUP("412",$AD$12:$AG$35,3,FALSE),0) + IFERROR(VLOOKUP("412",$AH$12:$AK$35,3,FALSE),0)</f>
        <v>0</v>
      </c>
      <c r="BT31" s="109">
        <f>IFERROR(VLOOKUP("413",$AD$12:$AG$35,3,FALSE),0) + IFERROR(VLOOKUP("413",$AH$12:$AK$35,3,FALSE),0)</f>
        <v>0</v>
      </c>
      <c r="BU31" s="109">
        <f>IFERROR(VLOOKUP("414",$AD$12:$AG$35,3,FALSE),0) + IFERROR(VLOOKUP("414",$AH$12:$AK$35,3,FALSE),0)</f>
        <v>0</v>
      </c>
      <c r="BV31" s="110">
        <f>SUM(BR31:BU31)</f>
        <v>0</v>
      </c>
      <c r="BW31" s="110">
        <f>RANK(BV31,BV31:BV34)</f>
        <v>1</v>
      </c>
      <c r="BY31" s="109">
        <f>IFERROR(VLOOKUP("412",$AD$12:$AG$35,4,FALSE),0) + IFERROR(VLOOKUP("412",$AH$12:$AK$35,4,FALSE),0)</f>
        <v>0</v>
      </c>
      <c r="BZ31" s="109">
        <f>IFERROR(VLOOKUP("413",$AD$12:$AG$35,4,FALSE),0) + IFERROR(VLOOKUP("413",$AH$12:$AK$35,4,FALSE),0)</f>
        <v>0</v>
      </c>
      <c r="CA31" s="109">
        <f>IFERROR(VLOOKUP("414",$AD$12:$AG$35,4,FALSE),0) + IFERROR(VLOOKUP("414",$AH$12:$AK$35,4,FALSE),0)</f>
        <v>0</v>
      </c>
      <c r="CB31" s="110">
        <f>SUM(BX31:CA31)</f>
        <v>0</v>
      </c>
      <c r="CD31" s="109">
        <f>IF(BN35=BQ31,BN31,0)</f>
        <v>0</v>
      </c>
      <c r="CE31" s="109">
        <f>IF(BO35=BQ31,BO31,0)</f>
        <v>0</v>
      </c>
      <c r="CF31" s="109">
        <f>IF(BP35=BQ31,BP31,0)</f>
        <v>0</v>
      </c>
      <c r="CG31" s="110">
        <f>SUM(CC31:CF31)</f>
        <v>0</v>
      </c>
      <c r="CI31" s="109">
        <f>IF(BN35=BQ31,BS31,0)</f>
        <v>0</v>
      </c>
      <c r="CJ31" s="109">
        <f>IF(BO35=BQ31,BT31,0)</f>
        <v>0</v>
      </c>
      <c r="CK31" s="109">
        <f>IF(BP35=BQ31,BU31,0)</f>
        <v>0</v>
      </c>
      <c r="CL31" s="110">
        <f>SUM(CH31:CK31)</f>
        <v>0</v>
      </c>
      <c r="CM31" s="110">
        <f>RANK(CL31,CL31:CL34)</f>
        <v>1</v>
      </c>
      <c r="CO31" s="109">
        <f>IF(BN35=BQ31,BY31,0)</f>
        <v>0</v>
      </c>
      <c r="CP31" s="109">
        <f>IF(BO35=BQ31,BZ31,0)</f>
        <v>0</v>
      </c>
      <c r="CQ31" s="109">
        <f>IF(BP35=BQ31,CA31,0)</f>
        <v>0</v>
      </c>
      <c r="CR31" s="110">
        <f>SUM(CN31:CQ31)</f>
        <v>0</v>
      </c>
      <c r="CS31" s="110">
        <f>BQ31*10000+CG31*100+(5-CM31)+CR31/10</f>
        <v>4</v>
      </c>
      <c r="CT31" s="110">
        <f>RANK(CS31,CS31:CS34)</f>
        <v>1</v>
      </c>
      <c r="CV31" s="109">
        <f>IF(CV35=CT31,BN31,0)</f>
        <v>0</v>
      </c>
      <c r="CW31" s="109">
        <f>IF(CW35=CT31,BO31,0)</f>
        <v>0</v>
      </c>
      <c r="CX31" s="109">
        <f>IF(CX35=CT31,BP31,0)</f>
        <v>0</v>
      </c>
      <c r="CY31" s="110">
        <f>SUM(CU31:CX31)</f>
        <v>0</v>
      </c>
      <c r="CZ31" s="110">
        <f>(5-CT31)*10000+CY31*100+(5-BW31)+CB31/10+BA31/100</f>
        <v>40004.000001004999</v>
      </c>
      <c r="DA31" s="110">
        <f>RANK(CZ31,CZ31:CZ34)</f>
        <v>4</v>
      </c>
      <c r="DH31" s="76"/>
      <c r="DP31" s="123"/>
      <c r="DQ31" s="84" t="str">
        <f>W49</f>
        <v>Loser SF2</v>
      </c>
      <c r="DR31" s="58"/>
      <c r="DS31" s="91"/>
    </row>
    <row r="32" spans="1:123" ht="12.75" customHeight="1">
      <c r="A32" s="64">
        <v>23</v>
      </c>
      <c r="B32" s="65" t="str">
        <f t="shared" si="0"/>
        <v>Wed</v>
      </c>
      <c r="C32" s="66" t="str">
        <f t="shared" si="1"/>
        <v>Jan 24, 2018</v>
      </c>
      <c r="D32" s="67">
        <f t="shared" si="2"/>
        <v>0.79166666666666663</v>
      </c>
      <c r="E32" s="68" t="str">
        <f>AN33</f>
        <v>Congo</v>
      </c>
      <c r="F32" s="56"/>
      <c r="G32" s="57"/>
      <c r="H32" s="74" t="str">
        <f>AN31</f>
        <v>Angola</v>
      </c>
      <c r="I32" s="124" t="str">
        <f>INDEX(T,106,lang)</f>
        <v>Stade Adrar, Agadir</v>
      </c>
      <c r="J32" s="127"/>
      <c r="K32" s="128"/>
      <c r="M32" s="23" t="str">
        <f>VLOOKUP(3,AM31:AW34,2,FALSE)</f>
        <v>Congo</v>
      </c>
      <c r="N32" s="29">
        <f>O32+P32+Q32</f>
        <v>0</v>
      </c>
      <c r="O32" s="29">
        <f>VLOOKUP(3,AM31:AW34,3,FALSE)</f>
        <v>0</v>
      </c>
      <c r="P32" s="29">
        <f>VLOOKUP(3,AM31:AW34,4,FALSE)</f>
        <v>0</v>
      </c>
      <c r="Q32" s="29">
        <f>VLOOKUP(3,AM31:AW34,5,FALSE)</f>
        <v>0</v>
      </c>
      <c r="R32" s="29" t="str">
        <f>VLOOKUP(3,AM31:AW34,6,FALSE) &amp; " - " &amp; VLOOKUP(3,AM31:AW34,7,FALSE)</f>
        <v>0 - 0</v>
      </c>
      <c r="S32" s="30">
        <f>O32*3+P32</f>
        <v>0</v>
      </c>
      <c r="U32" s="107">
        <f>DATE(2018,1,23)+TIME(8,0,0)+gmt_delta</f>
        <v>43123.791666666672</v>
      </c>
      <c r="V32" s="112" t="str">
        <f t="shared" si="3"/>
        <v/>
      </c>
      <c r="W32" s="112" t="str">
        <f t="shared" si="4"/>
        <v/>
      </c>
      <c r="X32" s="108">
        <f t="shared" si="5"/>
        <v>0</v>
      </c>
      <c r="Y32" s="107">
        <f t="shared" si="6"/>
        <v>0</v>
      </c>
      <c r="Z32" s="107">
        <f t="shared" si="7"/>
        <v>0</v>
      </c>
      <c r="AA32" s="107">
        <f t="shared" si="8"/>
        <v>3</v>
      </c>
      <c r="AB32" s="107">
        <f t="shared" si="9"/>
        <v>3</v>
      </c>
      <c r="AC32" s="107">
        <f t="shared" si="10"/>
        <v>1</v>
      </c>
      <c r="AD32" s="107" t="str">
        <f t="shared" si="11"/>
        <v>331</v>
      </c>
      <c r="AE32" s="107">
        <f t="shared" si="12"/>
        <v>0</v>
      </c>
      <c r="AF32" s="107">
        <f t="shared" si="13"/>
        <v>0</v>
      </c>
      <c r="AG32" s="107">
        <f t="shared" si="14"/>
        <v>0</v>
      </c>
      <c r="AH32" s="107" t="str">
        <f t="shared" si="18"/>
        <v>313</v>
      </c>
      <c r="AI32" s="107">
        <f t="shared" si="15"/>
        <v>0</v>
      </c>
      <c r="AJ32" s="107">
        <f t="shared" si="16"/>
        <v>0</v>
      </c>
      <c r="AK32" s="107">
        <f t="shared" si="17"/>
        <v>0</v>
      </c>
      <c r="AM32" s="107">
        <f t="shared" ref="AM32:AM34" si="39">DA32</f>
        <v>2</v>
      </c>
      <c r="AN32" s="108" t="str">
        <f>INDEX(T,40,lang)</f>
        <v>Cameroon</v>
      </c>
      <c r="AO32" s="107">
        <f>COUNTIF($V$12:$W$35,"=" &amp; AN32 &amp; "_win")</f>
        <v>0</v>
      </c>
      <c r="AP32" s="107">
        <f>COUNTIF($V$12:$W$35,"=" &amp; AN32 &amp; "_draw")</f>
        <v>0</v>
      </c>
      <c r="AQ32" s="107">
        <f>COUNTIF($V$12:$W$35,"=" &amp; AN32 &amp; "_lose")</f>
        <v>0</v>
      </c>
      <c r="AR32" s="107">
        <f>SUMIF($E$10:$E$33,$AN32,$F$10:$F$33) + SUMIF($H$10:$H$33,$AN32,$G$10:$G$33)</f>
        <v>0</v>
      </c>
      <c r="AS32" s="107">
        <f>SUMIF($E$10:$E$33,$AN32,$G$10:$G$33) + SUMIF($H$10:$H$33,$AN32,$F$10:$F$33)</f>
        <v>0</v>
      </c>
      <c r="AT32" s="107">
        <f>AW32*10000</f>
        <v>0</v>
      </c>
      <c r="AU32" s="107">
        <f>AR32-AS32</f>
        <v>0</v>
      </c>
      <c r="AV32" s="107">
        <f>(AU32-AU36)/AU35</f>
        <v>0</v>
      </c>
      <c r="AW32" s="107">
        <f>AO32*3+AP32</f>
        <v>0</v>
      </c>
      <c r="AX32" s="107">
        <f>BD32/BD35*10+BE32/BE35+BH32/BH35*0.1+BF32/BF35*0.01</f>
        <v>0</v>
      </c>
      <c r="BA32" s="107">
        <f>VLOOKUP(AN32,db_fifarank,2,FALSE)/2000000</f>
        <v>3.48E-4</v>
      </c>
      <c r="BB32" s="108">
        <f>10000000*AW32/AW35+100000*AX32/AX35+100*AV32+10*AR32/AR35+1*AX32/AX35+BA32</f>
        <v>3.48E-4</v>
      </c>
      <c r="BC32" s="108" t="str">
        <f>IF(SUM(AO31:AQ34)=12,M31,INDEX(T,77,lang))</f>
        <v>2D</v>
      </c>
      <c r="BD32" s="107">
        <f>SUMPRODUCT(($V$12:$V$35=AN32&amp;"_win")*($X$12:$X$35))+SUMPRODUCT(($W$12:$W$35=AN32&amp;"_win")*($X$12:$X$35))</f>
        <v>0</v>
      </c>
      <c r="BE32" s="109">
        <f>SUMPRODUCT(($V$12:$V$35=AN32&amp;"_draw")*($X$12:$X$35))+SUMPRODUCT(($W$12:$W$35=AN32&amp;"_draw")*($X$12:$X$35))</f>
        <v>0</v>
      </c>
      <c r="BF32" s="109">
        <f>SUMPRODUCT(($E$10:$E$33=AN32)*($X$12:$X$35)*($F$10:$F$33))+SUMPRODUCT(($H$10:$H$33=AN32)*($X$12:$X$35)*($G$10:$G$33))</f>
        <v>0</v>
      </c>
      <c r="BG32" s="109">
        <f>SUMPRODUCT(($E$10:$E$33=AN32)*($X$12:$X$35)*($G$10:$G$33))+SUMPRODUCT(($H$10:$H$33=AN32)*($X$12:$X$35)*($F$10:$F$33))</f>
        <v>0</v>
      </c>
      <c r="BH32" s="109">
        <f>BF32-BG32</f>
        <v>0</v>
      </c>
      <c r="BM32" s="109">
        <f>IFERROR(VLOOKUP("421",$AD$12:$AG$35,2,FALSE),0) + IFERROR(VLOOKUP("421",$AH$12:$AK$35,2,FALSE),0)</f>
        <v>0</v>
      </c>
      <c r="BO32" s="109">
        <f>IFERROR(VLOOKUP("423",$AD$12:$AG$35,2,FALSE),0) + IFERROR(VLOOKUP("423",$AH$12:$AK$35,2,FALSE),0)</f>
        <v>0</v>
      </c>
      <c r="BP32" s="109">
        <f>IFERROR(VLOOKUP("424",$AD$12:$AG$35,2,FALSE),0) + IFERROR(VLOOKUP("424",$AH$12:$AK$35,2,FALSE),0)</f>
        <v>0</v>
      </c>
      <c r="BQ32" s="110">
        <f>SUM(BM32:BP32)</f>
        <v>0</v>
      </c>
      <c r="BR32" s="109">
        <f>IFERROR(VLOOKUP("421",$AD$12:$AG$35,3,FALSE),0) + IFERROR(VLOOKUP("421",$AH$12:$AK$35,3,FALSE),0)</f>
        <v>0</v>
      </c>
      <c r="BT32" s="109">
        <f>IFERROR(VLOOKUP("423",$AD$12:$AG$35,3,FALSE),0) + IFERROR(VLOOKUP("423",$AH$12:$AK$35,3,FALSE),0)</f>
        <v>0</v>
      </c>
      <c r="BU32" s="109">
        <f>IFERROR(VLOOKUP("424",$AD$12:$AG$35,3,FALSE),0) + IFERROR(VLOOKUP("424",$AH$12:$AK$35,3,FALSE),0)</f>
        <v>0</v>
      </c>
      <c r="BV32" s="110">
        <f>SUM(BR32:BU32)</f>
        <v>0</v>
      </c>
      <c r="BW32" s="110">
        <f>RANK(BV32,BV31:BV34)</f>
        <v>1</v>
      </c>
      <c r="BX32" s="109">
        <f>IFERROR(VLOOKUP("421",$AD$12:$AG$35,4,FALSE),0) + IFERROR(VLOOKUP("421",$AH$12:$AK$35,4,FALSE),0)</f>
        <v>0</v>
      </c>
      <c r="BZ32" s="109">
        <f>IFERROR(VLOOKUP("423",$AD$12:$AG$35,4,FALSE),0) + IFERROR(VLOOKUP("423",$AH$12:$AK$35,4,FALSE),0)</f>
        <v>0</v>
      </c>
      <c r="CA32" s="109">
        <f>IFERROR(VLOOKUP("424",$AD$12:$AG$35,4,FALSE),0) + IFERROR(VLOOKUP("424",$AH$12:$AK$35,4,FALSE),0)</f>
        <v>0</v>
      </c>
      <c r="CB32" s="110">
        <f>SUM(BX32:CA32)</f>
        <v>0</v>
      </c>
      <c r="CC32" s="109">
        <f>IF(BM35=BQ32,BM32,0)</f>
        <v>0</v>
      </c>
      <c r="CE32" s="109">
        <f>IF(BO35=BQ32,BO32,0)</f>
        <v>0</v>
      </c>
      <c r="CF32" s="109">
        <f>IF(BP35=BQ32,BP32,0)</f>
        <v>0</v>
      </c>
      <c r="CG32" s="110">
        <f>SUM(CC32:CF32)</f>
        <v>0</v>
      </c>
      <c r="CH32" s="109">
        <f>IF(BM35=BQ32,BR32,0)</f>
        <v>0</v>
      </c>
      <c r="CJ32" s="109">
        <f>IF(BO35=BQ32,BT32,0)</f>
        <v>0</v>
      </c>
      <c r="CK32" s="109">
        <f>IF(BP35=BQ32,BU32,0)</f>
        <v>0</v>
      </c>
      <c r="CL32" s="110">
        <f>SUM(CH32:CK32)</f>
        <v>0</v>
      </c>
      <c r="CM32" s="110">
        <f>RANK(CL32,CL31:CL34)</f>
        <v>1</v>
      </c>
      <c r="CN32" s="109">
        <f>IF(BM35=BQ32,BX32,0)</f>
        <v>0</v>
      </c>
      <c r="CP32" s="109">
        <f>IF(BO35=BQ32,BZ32,0)</f>
        <v>0</v>
      </c>
      <c r="CQ32" s="109">
        <f>IF(BP35=BQ32,CA32,0)</f>
        <v>0</v>
      </c>
      <c r="CR32" s="110">
        <f>SUM(CN32:CQ32)</f>
        <v>0</v>
      </c>
      <c r="CS32" s="110">
        <f t="shared" ref="CS32:CS34" si="40">BQ32*10000+CG32*100+(5-CM32)+CR32/10</f>
        <v>4</v>
      </c>
      <c r="CT32" s="110">
        <f>RANK(CS32,CS31:CS34)</f>
        <v>1</v>
      </c>
      <c r="CU32" s="109">
        <f>IF(CU35=CT32,BM32,0)</f>
        <v>0</v>
      </c>
      <c r="CW32" s="109">
        <f>IF(CW35=CT32,BO32,0)</f>
        <v>0</v>
      </c>
      <c r="CX32" s="109">
        <f>IF(CX35=CT32,BP32,0)</f>
        <v>0</v>
      </c>
      <c r="CY32" s="110">
        <f t="shared" ref="CY32:CY35" si="41">SUM(CU32:CX32)</f>
        <v>0</v>
      </c>
      <c r="CZ32" s="110">
        <f t="shared" ref="CZ32:CZ34" si="42">(5-CT32)*10000+CY32*100+(5-BW32)+CB32/10+BA32/100</f>
        <v>40004.000003480003</v>
      </c>
      <c r="DA32" s="110">
        <f>RANK(CZ32,CZ31:CZ34)</f>
        <v>2</v>
      </c>
      <c r="DD32" s="76"/>
      <c r="DE32" s="76"/>
      <c r="DF32" s="76"/>
      <c r="DG32" s="76"/>
      <c r="DH32" s="76"/>
    </row>
    <row r="33" spans="1:123" ht="13.5" thickBot="1">
      <c r="A33" s="69">
        <v>24</v>
      </c>
      <c r="B33" s="70" t="str">
        <f t="shared" si="0"/>
        <v>Wed</v>
      </c>
      <c r="C33" s="71" t="str">
        <f t="shared" si="1"/>
        <v>Jan 24, 2018</v>
      </c>
      <c r="D33" s="72">
        <f t="shared" si="2"/>
        <v>0.79166666666666663</v>
      </c>
      <c r="E33" s="73" t="str">
        <f>AN34</f>
        <v>Burkina Faso</v>
      </c>
      <c r="F33" s="58"/>
      <c r="G33" s="59"/>
      <c r="H33" s="75" t="str">
        <f>AN32</f>
        <v>Cameroon</v>
      </c>
      <c r="I33" s="133" t="str">
        <f>INDEX(T,105,lang)</f>
        <v>Stade Ibn Batouta, Tangier</v>
      </c>
      <c r="J33" s="134"/>
      <c r="K33" s="135"/>
      <c r="M33" s="24" t="str">
        <f>VLOOKUP(4,AM31:AW34,2,FALSE)</f>
        <v>Angola</v>
      </c>
      <c r="N33" s="31">
        <f>O33+P33+Q33</f>
        <v>0</v>
      </c>
      <c r="O33" s="31">
        <f>VLOOKUP(4,AM31:AW34,3,FALSE)</f>
        <v>0</v>
      </c>
      <c r="P33" s="31">
        <f>VLOOKUP(4,AM31:AW34,4,FALSE)</f>
        <v>0</v>
      </c>
      <c r="Q33" s="31">
        <f>VLOOKUP(4,AM31:AW34,5,FALSE)</f>
        <v>0</v>
      </c>
      <c r="R33" s="31" t="str">
        <f>VLOOKUP(4,AM31:AW34,6,FALSE) &amp; " - " &amp; VLOOKUP(4,AM31:AW34,7,FALSE)</f>
        <v>0 - 0</v>
      </c>
      <c r="S33" s="32">
        <f>O33*3+P33</f>
        <v>0</v>
      </c>
      <c r="U33" s="107">
        <f>DATE(2018,1,23)+TIME(8,0,0)+gmt_delta</f>
        <v>43123.791666666672</v>
      </c>
      <c r="V33" s="112" t="str">
        <f t="shared" si="3"/>
        <v/>
      </c>
      <c r="W33" s="112" t="str">
        <f t="shared" si="4"/>
        <v/>
      </c>
      <c r="X33" s="108">
        <f t="shared" si="5"/>
        <v>0</v>
      </c>
      <c r="Y33" s="107">
        <f t="shared" si="6"/>
        <v>0</v>
      </c>
      <c r="Z33" s="107">
        <f t="shared" si="7"/>
        <v>0</v>
      </c>
      <c r="AA33" s="107">
        <f t="shared" si="8"/>
        <v>3</v>
      </c>
      <c r="AB33" s="107">
        <f t="shared" si="9"/>
        <v>4</v>
      </c>
      <c r="AC33" s="107">
        <f t="shared" si="10"/>
        <v>2</v>
      </c>
      <c r="AD33" s="107" t="str">
        <f t="shared" si="11"/>
        <v>342</v>
      </c>
      <c r="AE33" s="107">
        <f t="shared" si="12"/>
        <v>0</v>
      </c>
      <c r="AF33" s="107">
        <f t="shared" si="13"/>
        <v>0</v>
      </c>
      <c r="AG33" s="107">
        <f t="shared" si="14"/>
        <v>0</v>
      </c>
      <c r="AH33" s="107" t="str">
        <f t="shared" si="18"/>
        <v>324</v>
      </c>
      <c r="AI33" s="107">
        <f t="shared" si="15"/>
        <v>0</v>
      </c>
      <c r="AJ33" s="107">
        <f t="shared" si="16"/>
        <v>0</v>
      </c>
      <c r="AK33" s="107">
        <f t="shared" si="17"/>
        <v>0</v>
      </c>
      <c r="AM33" s="107">
        <f t="shared" si="39"/>
        <v>3</v>
      </c>
      <c r="AN33" s="108" t="str">
        <f>INDEX(T,41,lang)</f>
        <v>Congo</v>
      </c>
      <c r="AO33" s="107">
        <f>COUNTIF($V$12:$W$35,"=" &amp; AN33 &amp; "_win")</f>
        <v>0</v>
      </c>
      <c r="AP33" s="107">
        <f>COUNTIF($V$12:$W$35,"=" &amp; AN33 &amp; "_draw")</f>
        <v>0</v>
      </c>
      <c r="AQ33" s="107">
        <f>COUNTIF($V$12:$W$35,"=" &amp; AN33 &amp; "_lose")</f>
        <v>0</v>
      </c>
      <c r="AR33" s="107">
        <f>SUMIF($E$10:$E$33,$AN33,$F$10:$F$33) + SUMIF($H$10:$H$33,$AN33,$G$10:$G$33)</f>
        <v>0</v>
      </c>
      <c r="AS33" s="107">
        <f>SUMIF($E$10:$E$33,$AN33,$G$10:$G$33) + SUMIF($H$10:$H$33,$AN33,$F$10:$F$33)</f>
        <v>0</v>
      </c>
      <c r="AT33" s="107">
        <f>AW33*10000</f>
        <v>0</v>
      </c>
      <c r="AU33" s="107">
        <f>AR33-AS33</f>
        <v>0</v>
      </c>
      <c r="AV33" s="107">
        <f>(AU33-AU36)/AU35</f>
        <v>0</v>
      </c>
      <c r="AW33" s="107">
        <f>AO33*3+AP33</f>
        <v>0</v>
      </c>
      <c r="AX33" s="107">
        <f>BD33/BD35*10+BE33/BE35+BH33/BH35*0.1+BF33/BF35*0.01</f>
        <v>0</v>
      </c>
      <c r="BA33" s="107">
        <f>VLOOKUP(AN33,db_fifarank,2,FALSE)/2000000</f>
        <v>1.8100000000000001E-4</v>
      </c>
      <c r="BB33" s="108">
        <f>10000000*AW33/AW35+100000*AX33/AX35+100*AV33+10*AR33/AR35+1*AX33/AX35+BA33</f>
        <v>1.8100000000000001E-4</v>
      </c>
      <c r="BC33" s="108" t="str">
        <f>IF(SUM(AO31:AQ34)&gt;0,M32,"3D")</f>
        <v>3D</v>
      </c>
      <c r="BD33" s="107">
        <f>SUMPRODUCT(($V$12:$V$35=AN33&amp;"_win")*($X$12:$X$35))+SUMPRODUCT(($W$12:$W$35=AN33&amp;"_win")*($X$12:$X$35))</f>
        <v>0</v>
      </c>
      <c r="BE33" s="109">
        <f>SUMPRODUCT(($V$12:$V$35=AN33&amp;"_draw")*($X$12:$X$35))+SUMPRODUCT(($W$12:$W$35=AN33&amp;"_draw")*($X$12:$X$35))</f>
        <v>0</v>
      </c>
      <c r="BF33" s="109">
        <f>SUMPRODUCT(($E$10:$E$33=AN33)*($X$12:$X$35)*($F$10:$F$33))+SUMPRODUCT(($H$10:$H$33=AN33)*($X$12:$X$35)*($G$10:$G$33))</f>
        <v>0</v>
      </c>
      <c r="BG33" s="109">
        <f>SUMPRODUCT(($E$10:$E$33=AN33)*($X$12:$X$35)*($G$10:$G$33))+SUMPRODUCT(($H$10:$H$33=AN33)*($X$12:$X$35)*($F$10:$F$33))</f>
        <v>0</v>
      </c>
      <c r="BH33" s="109">
        <f>BF33-BG33</f>
        <v>0</v>
      </c>
      <c r="BM33" s="109">
        <f>IFERROR(VLOOKUP("431",$AD$12:$AG$35,2,FALSE),0) + IFERROR(VLOOKUP("431",$AH$12:$AK$35,2,FALSE),0)</f>
        <v>0</v>
      </c>
      <c r="BN33" s="109">
        <f>IFERROR(VLOOKUP("432",$AD$12:$AG$35,2,FALSE),0) + IFERROR(VLOOKUP("432",$AH$12:$AK$35,2,FALSE),0)</f>
        <v>0</v>
      </c>
      <c r="BP33" s="109">
        <f>IFERROR(VLOOKUP("434",$AD$12:$AG$35,2,FALSE),0) + IFERROR(VLOOKUP("434",$AH$12:$AK$35,2,FALSE),0)</f>
        <v>0</v>
      </c>
      <c r="BQ33" s="110">
        <f>SUM(BM33:BP33)</f>
        <v>0</v>
      </c>
      <c r="BR33" s="109">
        <f>IFERROR(VLOOKUP("431",$AD$12:$AG$35,3,FALSE),0) + IFERROR(VLOOKUP("431",$AH$12:$AK$35,3,FALSE),0)</f>
        <v>0</v>
      </c>
      <c r="BS33" s="109">
        <f>IFERROR(VLOOKUP("432",$AD$12:$AG$35,3,FALSE),0) + IFERROR(VLOOKUP("432",$AH$12:$AK$35,3,FALSE),0)</f>
        <v>0</v>
      </c>
      <c r="BU33" s="109">
        <f>IFERROR(VLOOKUP("434",$AD$12:$AG$35,3,FALSE),0) + IFERROR(VLOOKUP("434",$AH$12:$AK$35,3,FALSE),0)</f>
        <v>0</v>
      </c>
      <c r="BV33" s="110">
        <f>SUM(BR33:BU33)</f>
        <v>0</v>
      </c>
      <c r="BW33" s="110">
        <f>RANK(BV33,BV31:BV34)</f>
        <v>1</v>
      </c>
      <c r="BX33" s="109">
        <f>IFERROR(VLOOKUP("431",$AD$12:$AG$35,4,FALSE),0) + IFERROR(VLOOKUP("431",$AH$12:$AK$35,4,FALSE),0)</f>
        <v>0</v>
      </c>
      <c r="BY33" s="109">
        <f>IFERROR(VLOOKUP("432",$AD$12:$AG$35,4,FALSE),0) + IFERROR(VLOOKUP("432",$AH$12:$AK$35,4,FALSE),0)</f>
        <v>0</v>
      </c>
      <c r="CA33" s="109">
        <f>IFERROR(VLOOKUP("434",$AD$12:$AG$35,4,FALSE),0) + IFERROR(VLOOKUP("434",$AH$12:$AK$35,4,FALSE),0)</f>
        <v>0</v>
      </c>
      <c r="CB33" s="110">
        <f>SUM(BX33:CA33)</f>
        <v>0</v>
      </c>
      <c r="CC33" s="109">
        <f>IF(BM35=BQ33,BM33,0)</f>
        <v>0</v>
      </c>
      <c r="CD33" s="109">
        <f>IF(BN35=BQ33,BN33,0)</f>
        <v>0</v>
      </c>
      <c r="CF33" s="109">
        <f>IF(BP35=BQ33,BP33,0)</f>
        <v>0</v>
      </c>
      <c r="CG33" s="110">
        <f>SUM(CC33:CF33)</f>
        <v>0</v>
      </c>
      <c r="CH33" s="109">
        <f>IF(BM35=BQ33,BR33,0)</f>
        <v>0</v>
      </c>
      <c r="CI33" s="109">
        <f>IF(BN35=BQ33,BS33,0)</f>
        <v>0</v>
      </c>
      <c r="CK33" s="109">
        <f>IF(BP35=BQ33,BU33,0)</f>
        <v>0</v>
      </c>
      <c r="CL33" s="110">
        <f>SUM(CH33:CK33)</f>
        <v>0</v>
      </c>
      <c r="CM33" s="110">
        <f>RANK(CL33,CL31:CL34)</f>
        <v>1</v>
      </c>
      <c r="CN33" s="109">
        <f>IF(BM35=BQ33,BX33,0)</f>
        <v>0</v>
      </c>
      <c r="CO33" s="109">
        <f>IF(BN35=BQ33,BY33,0)</f>
        <v>0</v>
      </c>
      <c r="CQ33" s="109">
        <f>IF(BP35=BQ33,CA33,0)</f>
        <v>0</v>
      </c>
      <c r="CR33" s="110">
        <f>SUM(CN33:CQ33)</f>
        <v>0</v>
      </c>
      <c r="CS33" s="110">
        <f t="shared" si="40"/>
        <v>4</v>
      </c>
      <c r="CT33" s="110">
        <f>RANK(CS33,CS31:CS34)</f>
        <v>1</v>
      </c>
      <c r="CU33" s="109">
        <f>IF(CU35=CT33,BM33,0)</f>
        <v>0</v>
      </c>
      <c r="CV33" s="109">
        <f>IF(CV35=CT33,BN33,0)</f>
        <v>0</v>
      </c>
      <c r="CX33" s="109">
        <f>IF(CX35=CT33,BP33,0)</f>
        <v>0</v>
      </c>
      <c r="CY33" s="110">
        <f t="shared" si="41"/>
        <v>0</v>
      </c>
      <c r="CZ33" s="110">
        <f t="shared" si="42"/>
        <v>40004.000001810004</v>
      </c>
      <c r="DA33" s="110">
        <f>RANK(CZ33,CZ31:CZ34)</f>
        <v>3</v>
      </c>
      <c r="DD33" s="76"/>
      <c r="DE33" s="76"/>
      <c r="DF33" s="76"/>
      <c r="DG33" s="76"/>
      <c r="DH33" s="76"/>
    </row>
    <row r="34" spans="1:123">
      <c r="U34" s="107">
        <f>DATE(2018,1,24)+TIME(8,0,0)+gmt_delta</f>
        <v>43124.791666666672</v>
      </c>
      <c r="V34" s="112" t="str">
        <f t="shared" si="3"/>
        <v/>
      </c>
      <c r="W34" s="112" t="str">
        <f t="shared" si="4"/>
        <v/>
      </c>
      <c r="X34" s="108">
        <f t="shared" si="5"/>
        <v>0</v>
      </c>
      <c r="Y34" s="107">
        <f t="shared" si="6"/>
        <v>0</v>
      </c>
      <c r="Z34" s="107">
        <f t="shared" si="7"/>
        <v>0</v>
      </c>
      <c r="AA34" s="107">
        <f t="shared" si="8"/>
        <v>4</v>
      </c>
      <c r="AB34" s="107">
        <f t="shared" si="9"/>
        <v>3</v>
      </c>
      <c r="AC34" s="107">
        <f t="shared" si="10"/>
        <v>1</v>
      </c>
      <c r="AD34" s="107" t="str">
        <f t="shared" si="11"/>
        <v>431</v>
      </c>
      <c r="AE34" s="107">
        <f t="shared" si="12"/>
        <v>0</v>
      </c>
      <c r="AF34" s="107">
        <f t="shared" si="13"/>
        <v>0</v>
      </c>
      <c r="AG34" s="107">
        <f t="shared" si="14"/>
        <v>0</v>
      </c>
      <c r="AH34" s="107" t="str">
        <f t="shared" si="18"/>
        <v>413</v>
      </c>
      <c r="AI34" s="107">
        <f t="shared" si="15"/>
        <v>0</v>
      </c>
      <c r="AJ34" s="107">
        <f t="shared" si="16"/>
        <v>0</v>
      </c>
      <c r="AK34" s="107">
        <f t="shared" si="17"/>
        <v>0</v>
      </c>
      <c r="AM34" s="107">
        <f t="shared" si="39"/>
        <v>1</v>
      </c>
      <c r="AN34" s="108" t="str">
        <f>INDEX(T,39,lang)</f>
        <v>Burkina Faso</v>
      </c>
      <c r="AO34" s="107">
        <f>COUNTIF($V$12:$W$35,"=" &amp; AN34 &amp; "_win")</f>
        <v>0</v>
      </c>
      <c r="AP34" s="107">
        <f>COUNTIF($V$12:$W$35,"=" &amp; AN34 &amp; "_draw")</f>
        <v>0</v>
      </c>
      <c r="AQ34" s="107">
        <f>COUNTIF($V$12:$W$35,"=" &amp; AN34 &amp; "_lose")</f>
        <v>0</v>
      </c>
      <c r="AR34" s="107">
        <f>SUMIF($E$10:$E$33,$AN34,$F$10:$F$33) + SUMIF($H$10:$H$33,$AN34,$G$10:$G$33)</f>
        <v>0</v>
      </c>
      <c r="AS34" s="107">
        <f>SUMIF($E$10:$E$33,$AN34,$G$10:$G$33) + SUMIF($H$10:$H$33,$AN34,$F$10:$F$33)</f>
        <v>0</v>
      </c>
      <c r="AT34" s="107">
        <f>AW34*10000</f>
        <v>0</v>
      </c>
      <c r="AU34" s="107">
        <f>AR34-AS34</f>
        <v>0</v>
      </c>
      <c r="AV34" s="107">
        <f>(AU34-AU36)/AU35</f>
        <v>0</v>
      </c>
      <c r="AW34" s="107">
        <f>AO34*3+AP34</f>
        <v>0</v>
      </c>
      <c r="AX34" s="107">
        <f>BD34/BD35*10+BE34/BE35+BH34/BH35*0.1+BF34/BF35*0.01</f>
        <v>0</v>
      </c>
      <c r="BA34" s="107">
        <f>VLOOKUP(AN34,db_fifarank,2,FALSE)/2000000</f>
        <v>3.525E-4</v>
      </c>
      <c r="BB34" s="108">
        <f>10000000*AW34/AW35+100000*AX34/AX35+100*AV34+10*AR34/AR35+1*AX34/AX35+BA34</f>
        <v>3.525E-4</v>
      </c>
      <c r="BD34" s="107">
        <f>SUMPRODUCT(($V$12:$V$35=AN34&amp;"_win")*($X$12:$X$35))+SUMPRODUCT(($W$12:$W$35=AN34&amp;"_win")*($X$12:$X$35))</f>
        <v>0</v>
      </c>
      <c r="BE34" s="109">
        <f>SUMPRODUCT(($V$12:$V$35=AN34&amp;"_draw")*($X$12:$X$35))+SUMPRODUCT(($W$12:$W$35=AN34&amp;"_draw")*($X$12:$X$35))</f>
        <v>0</v>
      </c>
      <c r="BF34" s="109">
        <f>SUMPRODUCT(($E$10:$E$33=AN34)*($X$12:$X$35)*($F$10:$F$33))+SUMPRODUCT(($H$10:$H$33=AN34)*($X$12:$X$35)*($G$10:$G$33))</f>
        <v>0</v>
      </c>
      <c r="BG34" s="109">
        <f>SUMPRODUCT(($E$10:$E$33=AN34)*($X$12:$X$35)*($G$10:$G$33))+SUMPRODUCT(($H$10:$H$33=AN34)*($X$12:$X$35)*($F$10:$F$33))</f>
        <v>0</v>
      </c>
      <c r="BH34" s="109">
        <f>BF34-BG34</f>
        <v>0</v>
      </c>
      <c r="BM34" s="109">
        <f>IFERROR(VLOOKUP("441",$AD$12:$AG$35,2,FALSE),0) + IFERROR(VLOOKUP("441",$AH$12:$AK$35,2,FALSE),0)</f>
        <v>0</v>
      </c>
      <c r="BN34" s="109">
        <f>IFERROR(VLOOKUP("442",$AD$12:$AG$35,2,FALSE),0) + IFERROR(VLOOKUP("442",$AH$12:$AK$35,2,FALSE),0)</f>
        <v>0</v>
      </c>
      <c r="BO34" s="109">
        <f>IFERROR(VLOOKUP("443",$AD$12:$AG$35,2,FALSE),0) + IFERROR(VLOOKUP("443",$AH$12:$AK$35,2,FALSE),0)</f>
        <v>0</v>
      </c>
      <c r="BQ34" s="110">
        <f>SUM(BM34:BP34)</f>
        <v>0</v>
      </c>
      <c r="BR34" s="109">
        <f>IFERROR(VLOOKUP("441",$AD$12:$AG$35,3,FALSE),0) + IFERROR(VLOOKUP("441",$AH$12:$AK$35,3,FALSE),0)</f>
        <v>0</v>
      </c>
      <c r="BS34" s="109">
        <f>IFERROR(VLOOKUP("442",$AD$12:$AG$35,3,FALSE),0) + IFERROR(VLOOKUP("442",$AH$12:$AK$35,3,FALSE),0)</f>
        <v>0</v>
      </c>
      <c r="BT34" s="109">
        <f>IFERROR(VLOOKUP("443",$AD$12:$AG$35,3,FALSE),0) + IFERROR(VLOOKUP("443",$AH$12:$AK$35,3,FALSE),0)</f>
        <v>0</v>
      </c>
      <c r="BV34" s="110">
        <f>SUM(BR34:BU34)</f>
        <v>0</v>
      </c>
      <c r="BW34" s="110">
        <f>RANK(BV34,BV31:BV34)</f>
        <v>1</v>
      </c>
      <c r="BX34" s="109">
        <f>IFERROR(VLOOKUP("441",$AD$12:$AG$35,4,FALSE),0) + IFERROR(VLOOKUP("441",$AH$12:$AK$35,4,FALSE),0)</f>
        <v>0</v>
      </c>
      <c r="BY34" s="109">
        <f>IFERROR(VLOOKUP("442",$AD$12:$AG$35,4,FALSE),0) + IFERROR(VLOOKUP("442",$AH$12:$AK$35,4,FALSE),0)</f>
        <v>0</v>
      </c>
      <c r="BZ34" s="109">
        <f>IFERROR(VLOOKUP("443",$AD$12:$AG$35,4,FALSE),0) + IFERROR(VLOOKUP("443",$AH$12:$AK$35,4,FALSE),0)</f>
        <v>0</v>
      </c>
      <c r="CB34" s="110">
        <f>SUM(BX34:CA34)</f>
        <v>0</v>
      </c>
      <c r="CC34" s="109">
        <f>IF(BM35=BQ34,BM34,0)</f>
        <v>0</v>
      </c>
      <c r="CD34" s="109">
        <f>IF(BN35=BQ34,BN34,0)</f>
        <v>0</v>
      </c>
      <c r="CE34" s="109">
        <f>IF(BO35=BQ34,BO34,0)</f>
        <v>0</v>
      </c>
      <c r="CG34" s="110">
        <f>SUM(CC34:CF34)</f>
        <v>0</v>
      </c>
      <c r="CH34" s="109">
        <f>IF(BM35=BQ34,BR34,0)</f>
        <v>0</v>
      </c>
      <c r="CI34" s="109">
        <f>IF(BN35=BQ34,BS34,0)</f>
        <v>0</v>
      </c>
      <c r="CJ34" s="109">
        <f>IF(BO35=BQ34,BT34,0)</f>
        <v>0</v>
      </c>
      <c r="CL34" s="110">
        <f>SUM(CH34:CK34)</f>
        <v>0</v>
      </c>
      <c r="CM34" s="110">
        <f>RANK(CL34,CL31:CL34)</f>
        <v>1</v>
      </c>
      <c r="CN34" s="109">
        <f>IF(BM35=BQ34,BX34,0)</f>
        <v>0</v>
      </c>
      <c r="CO34" s="109">
        <f>IF(BN35=BQ34,BY34,0)</f>
        <v>0</v>
      </c>
      <c r="CP34" s="109">
        <f>IF(BO35=BQ34,BZ34,0)</f>
        <v>0</v>
      </c>
      <c r="CR34" s="110">
        <f>SUM(CN34:CQ34)</f>
        <v>0</v>
      </c>
      <c r="CS34" s="110">
        <f t="shared" si="40"/>
        <v>4</v>
      </c>
      <c r="CT34" s="110">
        <f>RANK(CS34,CS31:CS34)</f>
        <v>1</v>
      </c>
      <c r="CU34" s="109">
        <f>IF(CU35=CT34,BM34,0)</f>
        <v>0</v>
      </c>
      <c r="CV34" s="109">
        <f>IF(CV35=CT34,BN34,0)</f>
        <v>0</v>
      </c>
      <c r="CW34" s="109">
        <f>IF(CW35=CT34,BO34,0)</f>
        <v>0</v>
      </c>
      <c r="CY34" s="110">
        <f t="shared" si="41"/>
        <v>0</v>
      </c>
      <c r="CZ34" s="110">
        <f t="shared" si="42"/>
        <v>40004.000003524998</v>
      </c>
      <c r="DA34" s="110">
        <f>RANK(CZ34,CZ31:CZ34)</f>
        <v>1</v>
      </c>
      <c r="DD34" s="76"/>
      <c r="DE34" s="76"/>
      <c r="DF34" s="76"/>
      <c r="DG34" s="76"/>
      <c r="DH34" s="76"/>
      <c r="DI34" s="129" t="str">
        <f>INDEX(T,102,lang)</f>
        <v>Champion 2018</v>
      </c>
      <c r="DJ34" s="129"/>
      <c r="DK34" s="129"/>
      <c r="DL34" s="129"/>
      <c r="DM34" s="129"/>
      <c r="DN34" s="131" t="str">
        <f>V55</f>
        <v/>
      </c>
      <c r="DO34" s="131"/>
      <c r="DP34" s="131"/>
      <c r="DQ34" s="131"/>
      <c r="DR34" s="131"/>
      <c r="DS34" s="131"/>
    </row>
    <row r="35" spans="1:123">
      <c r="M35" s="136" t="s">
        <v>110</v>
      </c>
      <c r="N35" s="137"/>
      <c r="O35" s="137"/>
      <c r="P35" s="137"/>
      <c r="Q35" s="137"/>
      <c r="R35" s="137"/>
      <c r="S35" s="138"/>
      <c r="U35" s="107">
        <f>DATE(2018,1,24)+TIME(8,0,0)+gmt_delta</f>
        <v>43124.791666666672</v>
      </c>
      <c r="V35" s="112" t="str">
        <f t="shared" si="3"/>
        <v/>
      </c>
      <c r="W35" s="112" t="str">
        <f t="shared" si="4"/>
        <v/>
      </c>
      <c r="X35" s="108">
        <f t="shared" si="5"/>
        <v>0</v>
      </c>
      <c r="Y35" s="107">
        <f t="shared" si="6"/>
        <v>0</v>
      </c>
      <c r="Z35" s="107">
        <f t="shared" si="7"/>
        <v>0</v>
      </c>
      <c r="AA35" s="107">
        <f t="shared" si="8"/>
        <v>4</v>
      </c>
      <c r="AB35" s="107">
        <f t="shared" si="9"/>
        <v>4</v>
      </c>
      <c r="AC35" s="107">
        <f t="shared" si="10"/>
        <v>2</v>
      </c>
      <c r="AD35" s="107" t="str">
        <f t="shared" si="11"/>
        <v>442</v>
      </c>
      <c r="AE35" s="107">
        <f t="shared" si="12"/>
        <v>0</v>
      </c>
      <c r="AF35" s="107">
        <f t="shared" si="13"/>
        <v>0</v>
      </c>
      <c r="AG35" s="107">
        <f t="shared" si="14"/>
        <v>0</v>
      </c>
      <c r="AH35" s="107" t="str">
        <f t="shared" si="18"/>
        <v>424</v>
      </c>
      <c r="AI35" s="107">
        <f t="shared" si="15"/>
        <v>0</v>
      </c>
      <c r="AJ35" s="107">
        <f t="shared" si="16"/>
        <v>0</v>
      </c>
      <c r="AK35" s="107">
        <f t="shared" si="17"/>
        <v>0</v>
      </c>
      <c r="AO35" s="107">
        <f t="shared" ref="AO35:AX35" si="43">MAX(AO31:AO34)-MIN(AO31:AO34)+1</f>
        <v>1</v>
      </c>
      <c r="AP35" s="107">
        <f t="shared" si="43"/>
        <v>1</v>
      </c>
      <c r="AQ35" s="107">
        <f t="shared" si="43"/>
        <v>1</v>
      </c>
      <c r="AR35" s="107">
        <f t="shared" si="43"/>
        <v>1</v>
      </c>
      <c r="AS35" s="107">
        <f t="shared" si="43"/>
        <v>1</v>
      </c>
      <c r="AT35" s="107">
        <f>MAX(AT31:AT34)-AT36+1</f>
        <v>1</v>
      </c>
      <c r="AU35" s="107">
        <f>MAX(AU31:AU34)-AU36+1</f>
        <v>1</v>
      </c>
      <c r="AW35" s="107">
        <f t="shared" si="43"/>
        <v>1</v>
      </c>
      <c r="AX35" s="107">
        <f t="shared" si="43"/>
        <v>1</v>
      </c>
      <c r="BD35" s="107">
        <f>MAX(BD31:BD34)-MIN(BD31:BD34)+1</f>
        <v>1</v>
      </c>
      <c r="BE35" s="107">
        <f>MAX(BE31:BE34)-MIN(BE31:BE34)+1</f>
        <v>1</v>
      </c>
      <c r="BF35" s="107">
        <f>MAX(BF31:BF34)-MIN(BF31:BF34)+1</f>
        <v>1</v>
      </c>
      <c r="BG35" s="107">
        <f>MAX(BG31:BG34)-MIN(BG31:BG34)+1</f>
        <v>1</v>
      </c>
      <c r="BH35" s="107">
        <f>MAX(BH31:BH34)-MIN(BH31:BH34)+1</f>
        <v>1</v>
      </c>
      <c r="BM35" s="107">
        <f>BQ31</f>
        <v>0</v>
      </c>
      <c r="BN35" s="107">
        <f>BQ32</f>
        <v>0</v>
      </c>
      <c r="BO35" s="107">
        <f>BQ33</f>
        <v>0</v>
      </c>
      <c r="BP35" s="107">
        <f>BQ34</f>
        <v>0</v>
      </c>
      <c r="BR35" s="107"/>
      <c r="BS35" s="107"/>
      <c r="BT35" s="107"/>
      <c r="BU35" s="107"/>
      <c r="BX35" s="107"/>
      <c r="BY35" s="107"/>
      <c r="BZ35" s="107"/>
      <c r="CA35" s="107"/>
      <c r="CC35" s="107"/>
      <c r="CD35" s="107"/>
      <c r="CE35" s="107"/>
      <c r="CF35" s="107"/>
      <c r="CH35" s="107"/>
      <c r="CI35" s="107"/>
      <c r="CJ35" s="107"/>
      <c r="CK35" s="107"/>
      <c r="CN35" s="107"/>
      <c r="CO35" s="107"/>
      <c r="CP35" s="107"/>
      <c r="CQ35" s="107"/>
      <c r="CU35" s="107">
        <f>CT31</f>
        <v>1</v>
      </c>
      <c r="CV35" s="107">
        <f>CT32</f>
        <v>1</v>
      </c>
      <c r="CW35" s="107">
        <f>CT33</f>
        <v>1</v>
      </c>
      <c r="CX35" s="107">
        <f>CT34</f>
        <v>1</v>
      </c>
      <c r="CY35" s="110">
        <f t="shared" si="41"/>
        <v>4</v>
      </c>
      <c r="DD35" s="76"/>
      <c r="DE35" s="76"/>
      <c r="DF35" s="76"/>
      <c r="DG35" s="76"/>
      <c r="DH35" s="76"/>
      <c r="DI35" s="130"/>
      <c r="DJ35" s="130"/>
      <c r="DK35" s="130"/>
      <c r="DL35" s="130"/>
      <c r="DM35" s="130"/>
      <c r="DN35" s="132"/>
      <c r="DO35" s="132"/>
      <c r="DP35" s="132"/>
      <c r="DQ35" s="132"/>
      <c r="DR35" s="132"/>
      <c r="DS35" s="132"/>
    </row>
    <row r="36" spans="1:123">
      <c r="M36" s="139"/>
      <c r="N36" s="140"/>
      <c r="O36" s="140"/>
      <c r="P36" s="140"/>
      <c r="Q36" s="140"/>
      <c r="R36" s="140"/>
      <c r="S36" s="141"/>
      <c r="AT36" s="107">
        <f>MIN(AT31:AT34)</f>
        <v>0</v>
      </c>
      <c r="AU36" s="107">
        <f>MIN(AU31:AU34)</f>
        <v>0</v>
      </c>
      <c r="DO36" s="81"/>
    </row>
    <row r="37" spans="1:123">
      <c r="BA37" s="107"/>
      <c r="DO37" s="81"/>
    </row>
    <row r="38" spans="1:123" hidden="1">
      <c r="BA38" s="107"/>
      <c r="DO38" s="81"/>
    </row>
    <row r="39" spans="1:123" hidden="1">
      <c r="U39" s="107">
        <f>DATE(2018,1,27)+TIME(5,30,0)+gmt_delta</f>
        <v>43127.6875</v>
      </c>
      <c r="V39" s="112" t="str">
        <f>IF(OR(DF17="",DF18=""),"",IF(DF17&gt;DF18,DE17,IF(DF17&lt;DF18,DE18,IF(OR(DG17="",DG18=""),"draw",IF(DG17&gt;DG18,DE17,IF(DG17&lt;DG18,DE18,"draw"))))))</f>
        <v/>
      </c>
      <c r="W39" s="112" t="str">
        <f>IF(OR(V39="",V39="draw"),INDEX(T,86,lang),V39)</f>
        <v>Winner QF1</v>
      </c>
      <c r="BA39" s="107"/>
      <c r="DH39" s="76"/>
      <c r="DI39" s="76"/>
      <c r="DJ39" s="76"/>
      <c r="DK39" s="76"/>
      <c r="DL39" s="76"/>
      <c r="DM39" s="76"/>
      <c r="DN39" s="76"/>
      <c r="DO39" s="76"/>
    </row>
    <row r="40" spans="1:123" hidden="1">
      <c r="D40" s="1"/>
      <c r="E40" s="1"/>
      <c r="F40" s="1"/>
      <c r="G40" s="1"/>
      <c r="H40" s="1"/>
      <c r="I40" s="1"/>
      <c r="J40" s="1"/>
      <c r="K40" s="1"/>
      <c r="U40" s="107">
        <f>DATE(2018,1,28)+TIME(5,30,0)+gmt_delta</f>
        <v>43128.6875</v>
      </c>
      <c r="V40" s="112" t="str">
        <f>IF(OR(DF29="",DF30=""),"",IF(DF29&gt;DF30,DE29,IF(DF29&lt;DF30,DE30,IF(OR(DG29="",DG30=""),"draw",IF(DG29&gt;DG30,DE29,IF(DG29&lt;DG30,DE30,"draw"))))))</f>
        <v/>
      </c>
      <c r="W40" s="112" t="str">
        <f>IF(OR(V40="",V40="draw"),INDEX(T,87,lang),V40)</f>
        <v>Winner QF2</v>
      </c>
      <c r="BA40" s="107"/>
      <c r="DI40" s="76"/>
      <c r="DJ40" s="76"/>
      <c r="DK40" s="76"/>
      <c r="DL40" s="76"/>
      <c r="DM40" s="76"/>
      <c r="DN40" s="76"/>
      <c r="DO40" s="76"/>
    </row>
    <row r="41" spans="1:123" hidden="1">
      <c r="D41" s="1"/>
      <c r="E41" s="1"/>
      <c r="F41" s="1"/>
      <c r="G41" s="1"/>
      <c r="H41" s="1"/>
      <c r="I41" s="1"/>
      <c r="J41" s="1"/>
      <c r="K41" s="1"/>
      <c r="U41" s="107">
        <f>DATE(2018,1,27)+TIME(8,30,0)+gmt_delta</f>
        <v>43127.8125</v>
      </c>
      <c r="V41" s="112" t="str">
        <f>IF(OR(DF25="",DF26=""),"",IF(DF25&gt;DF26,DE25,IF(DF25&lt;DF26,DE26,IF(OR(DG25="",DG26=""),"draw",IF(DG25&gt;DG26,DE25,IF(DG25&lt;DG26,DE26,"draw"))))))</f>
        <v/>
      </c>
      <c r="W41" s="112" t="str">
        <f>IF(OR(V41="",V41="draw"),INDEX(T,88,lang),V41)</f>
        <v>Winner QF3</v>
      </c>
      <c r="BE41" s="107"/>
      <c r="BF41" s="107"/>
      <c r="BG41" s="107"/>
      <c r="BH41" s="107"/>
      <c r="BM41" s="107"/>
      <c r="BN41" s="107"/>
      <c r="BO41" s="107"/>
      <c r="BP41" s="107"/>
      <c r="BR41" s="107"/>
      <c r="BS41" s="107"/>
      <c r="BT41" s="107"/>
      <c r="BU41" s="107"/>
      <c r="BX41" s="107"/>
      <c r="BY41" s="107"/>
      <c r="BZ41" s="107"/>
      <c r="CA41" s="107"/>
      <c r="CC41" s="107"/>
      <c r="CD41" s="107"/>
      <c r="CE41" s="107"/>
      <c r="CF41" s="107"/>
      <c r="CH41" s="107"/>
      <c r="CI41" s="107"/>
      <c r="CJ41" s="107"/>
      <c r="CK41" s="107"/>
      <c r="CN41" s="107"/>
      <c r="CO41" s="107"/>
      <c r="CP41" s="107"/>
      <c r="CQ41" s="107"/>
      <c r="CU41" s="107"/>
      <c r="CV41" s="107"/>
      <c r="CW41" s="107"/>
      <c r="CX41" s="107"/>
      <c r="DI41" s="76"/>
      <c r="DJ41" s="76"/>
      <c r="DK41" s="76"/>
      <c r="DL41" s="76"/>
      <c r="DM41" s="76"/>
      <c r="DN41" s="76"/>
      <c r="DO41" s="76"/>
    </row>
    <row r="42" spans="1:123" hidden="1">
      <c r="U42" s="107">
        <f>DATE(2018,1,28)+TIME(8,30,0)+gmt_delta</f>
        <v>43128.8125</v>
      </c>
      <c r="V42" s="112" t="str">
        <f>IF(OR(DF21="",DF22=""),"",IF(DF21&gt;DF22,DE21,IF(DF21&lt;DF22,DE22,IF(OR(DG21="",DG22=""),"draw",IF(DG21&gt;DG22,DE21,IF(DG21&lt;DG22,DE22,"draw"))))))</f>
        <v/>
      </c>
      <c r="W42" s="112" t="str">
        <f>IF(OR(V42="",V42="draw"),INDEX(T,89,lang),V42)</f>
        <v>Winner QF4</v>
      </c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</row>
    <row r="43" spans="1:123" hidden="1">
      <c r="BA43" s="107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</row>
    <row r="44" spans="1:123" hidden="1">
      <c r="BA44" s="107"/>
      <c r="DJ44" s="76"/>
      <c r="DK44" s="76"/>
      <c r="DL44" s="76"/>
      <c r="DM44" s="76"/>
      <c r="DN44" s="76"/>
      <c r="DO44" s="76"/>
      <c r="DP44" s="76"/>
      <c r="DQ44" s="76"/>
      <c r="DR44" s="76"/>
      <c r="DS44" s="76"/>
    </row>
    <row r="45" spans="1:123" hidden="1">
      <c r="BA45" s="107"/>
    </row>
    <row r="46" spans="1:123" hidden="1">
      <c r="U46" s="107">
        <f>DATE(2018,1,31)+TIME(5,30,0)+gmt_delta</f>
        <v>43131.6875</v>
      </c>
      <c r="V46" s="112" t="str">
        <f>IF(OR(DL19="",DL20=""),"",IF(DL19&gt;DL20,DK19,IF(DL19&lt;DL20,DK20,IF(OR(DM19="",DM20=""),"draw",IF(DM19&gt;DM20,DK19,IF(DM19&lt;DM20,DK20,"draw"))))))</f>
        <v/>
      </c>
      <c r="W46" s="112" t="str">
        <f>IF(OR(V46="",V46="draw"),INDEX(T,92,lang),V46)</f>
        <v>Winner SF1</v>
      </c>
      <c r="BA46" s="107"/>
    </row>
    <row r="47" spans="1:123" hidden="1">
      <c r="U47" s="107">
        <f>DATE(2018,1,31)+TIME(8,30,0)+gmt_delta</f>
        <v>43131.8125</v>
      </c>
      <c r="V47" s="112" t="str">
        <f>IF(OR(DL27="",DL28=""),"",IF(DL27&gt;DL28,DK27,IF(DL27&lt;DL28,DK28,IF(OR(DM27="",DM28=""),"draw",IF(DM27&gt;DM28,DK27,IF(DM27&lt;DM28,DK28,"draw"))))))</f>
        <v/>
      </c>
      <c r="W47" s="112" t="str">
        <f>IF(OR(V47="",V47="draw"),INDEX(T,93,lang),V47)</f>
        <v>Winner SF2</v>
      </c>
      <c r="BE47" s="107"/>
      <c r="BF47" s="107"/>
      <c r="BG47" s="107"/>
      <c r="BH47" s="107"/>
      <c r="BM47" s="107"/>
      <c r="BN47" s="107"/>
      <c r="BO47" s="107"/>
      <c r="BP47" s="107"/>
      <c r="BR47" s="107"/>
      <c r="BS47" s="107"/>
      <c r="BT47" s="107"/>
      <c r="BU47" s="107"/>
      <c r="BX47" s="107"/>
      <c r="BY47" s="107"/>
      <c r="BZ47" s="107"/>
      <c r="CA47" s="107"/>
      <c r="CC47" s="107"/>
      <c r="CD47" s="107"/>
      <c r="CE47" s="107"/>
      <c r="CF47" s="107"/>
      <c r="CH47" s="107"/>
      <c r="CI47" s="107"/>
      <c r="CJ47" s="107"/>
      <c r="CK47" s="107"/>
      <c r="CN47" s="107"/>
      <c r="CO47" s="107"/>
      <c r="CP47" s="107"/>
      <c r="CQ47" s="107"/>
      <c r="CU47" s="107"/>
      <c r="CV47" s="107"/>
      <c r="CW47" s="107"/>
      <c r="CX47" s="107"/>
    </row>
    <row r="48" spans="1:123" hidden="1">
      <c r="W48" s="112" t="str">
        <f>IF(OR(V46="",V46="draw"),INDEX(T,90,lang),V46)</f>
        <v>Loser SF1</v>
      </c>
    </row>
    <row r="49" spans="12:60" hidden="1">
      <c r="W49" s="112" t="str">
        <f>IF(OR(V46="",V46="draw"),INDEX(T,91,lang),V46)</f>
        <v>Loser SF2</v>
      </c>
      <c r="BA49" s="107"/>
    </row>
    <row r="50" spans="12:60" hidden="1">
      <c r="BA50" s="107"/>
    </row>
    <row r="51" spans="12:60" hidden="1">
      <c r="BA51" s="107"/>
    </row>
    <row r="52" spans="12:60" hidden="1">
      <c r="L52" s="1"/>
      <c r="U52" s="107">
        <f>DATE(2018,2,3)+TIME(8,0,0)+gmt_delta</f>
        <v>43134.791666666672</v>
      </c>
      <c r="W52" s="112" t="str">
        <f>IF(OR(DR30="",DR31=""),"",IF(DR30&gt;DR31,DQ30,IF(DR30&lt;DR31,DQ31,IF(OR(DS30="",DS31=""),"",IF(DS30&gt;DS31,DQ30,IF(DS30&lt;DS31,DQ31,""))))))</f>
        <v/>
      </c>
      <c r="BA52" s="107"/>
    </row>
    <row r="53" spans="12:60" hidden="1">
      <c r="L53" s="1"/>
      <c r="BA53" s="107"/>
      <c r="BE53" s="107"/>
      <c r="BF53" s="107"/>
      <c r="BG53" s="107"/>
      <c r="BH53" s="107"/>
    </row>
    <row r="54" spans="12:60" hidden="1">
      <c r="BA54" s="107"/>
    </row>
    <row r="55" spans="12:60" hidden="1">
      <c r="L55" s="62"/>
      <c r="U55" s="107">
        <f>DATE(2018,2,4)+TIME(8,0,0)+gmt_delta</f>
        <v>43135.791666666672</v>
      </c>
      <c r="V55" s="112" t="str">
        <f>IF(OR(DR23="",DR24=""),"",IF(DR23&gt;DR24,DQ23,IF(DR23&lt;DR24,DQ24,IF(OR(DS23="",DS24=""),"",IF(DS23&gt;DS24,DQ23,IF(DS23&lt;DS24,DQ24,""))))))</f>
        <v/>
      </c>
      <c r="W55" s="112" t="str">
        <f>V55</f>
        <v/>
      </c>
      <c r="BA55" s="107"/>
    </row>
    <row r="56" spans="12:60" ht="12.75" hidden="1" customHeight="1">
      <c r="L56" s="26"/>
      <c r="BA56" s="107"/>
    </row>
    <row r="57" spans="12:60" ht="12.75" hidden="1" customHeight="1">
      <c r="L57" s="26"/>
      <c r="X57" s="112" t="str">
        <f>IF(OR(DL19="",DL20=""),"",IF(DL19&lt;DL20,DK19,IF(DL19&gt;DL20,DK20,IF(OR(DM19="",DM20=""),"draw",IF(DM19&lt;DM20,DK19,IF(DM19&gt;DM20,DK20,"draw"))))))</f>
        <v/>
      </c>
      <c r="BA57" s="107"/>
    </row>
    <row r="58" spans="12:60" hidden="1">
      <c r="X58" s="112" t="str">
        <f>IF(OR(DL27="",DL28=""),"",IF(DL27&lt;DL28,DK27,IF(DL27&gt;DL28,DK28,IF(OR(DM27="",DM28=""),"draw",IF(DM27&lt;DM28,DK27,IF(DM27&gt;DM28,DK28,"draw"))))))</f>
        <v/>
      </c>
      <c r="BA58" s="107"/>
    </row>
    <row r="59" spans="12:60" ht="12.75" hidden="1" customHeight="1">
      <c r="BE59" s="107"/>
      <c r="BF59" s="107"/>
      <c r="BG59" s="107"/>
      <c r="BH59" s="107"/>
    </row>
    <row r="60" spans="12:60" ht="12.75" hidden="1" customHeight="1"/>
    <row r="61" spans="12:60" ht="12.75" hidden="1" customHeight="1"/>
    <row r="62" spans="12:60" ht="12.75" hidden="1" customHeight="1"/>
    <row r="63" spans="12:60" ht="12.75" hidden="1" customHeight="1"/>
    <row r="64" spans="12:60" ht="12.75" hidden="1" customHeight="1"/>
    <row r="65" spans="38:38" ht="12.75" hidden="1" customHeight="1"/>
    <row r="66" spans="38:38" ht="12.75" hidden="1" customHeight="1"/>
    <row r="67" spans="38:38" ht="12.75" hidden="1" customHeight="1"/>
    <row r="68" spans="38:38" ht="12.75" hidden="1" customHeight="1"/>
    <row r="69" spans="38:38" ht="12.75" hidden="1" customHeight="1">
      <c r="AL69" s="112">
        <f>IF(OR(X57="",X57="draw"),INDEX(T,100,lang),X57)</f>
        <v>0</v>
      </c>
    </row>
    <row r="70" spans="38:38" ht="12.75" hidden="1" customHeight="1">
      <c r="AL70" s="112">
        <f>IF(OR(X58="",X58="draw"),INDEX(T,101,lang),X58)</f>
        <v>0</v>
      </c>
    </row>
    <row r="71" spans="38:38" ht="12.75" hidden="1" customHeight="1"/>
    <row r="72" spans="38:38" ht="12.75" hidden="1" customHeight="1"/>
    <row r="73" spans="38:38" ht="12.75" hidden="1" customHeight="1"/>
    <row r="74" spans="38:38" ht="12.75" hidden="1" customHeight="1"/>
    <row r="75" spans="38:38" ht="12.75" hidden="1" customHeight="1"/>
    <row r="76" spans="38:38" ht="12.75" hidden="1" customHeight="1"/>
    <row r="77" spans="38:38" ht="12.75" hidden="1" customHeight="1"/>
    <row r="78" spans="38:38" hidden="1"/>
    <row r="79" spans="38:38" ht="12.75" hidden="1" customHeight="1"/>
    <row r="80" spans="38:38" ht="12.75" hidden="1" customHeight="1"/>
    <row r="81" hidden="1"/>
    <row r="82" hidden="1"/>
    <row r="83" ht="12.75" hidden="1" customHeight="1"/>
    <row r="84" ht="12.75" hidden="1" customHeight="1"/>
    <row r="85" hidden="1"/>
    <row r="86" hidden="1"/>
    <row r="87" ht="12.75" hidden="1" customHeight="1"/>
    <row r="88" ht="12.75" hidden="1" customHeight="1"/>
    <row r="89" hidden="1"/>
    <row r="90" hidden="1"/>
    <row r="91" hidden="1"/>
    <row r="92" hidden="1"/>
    <row r="93" hidden="1"/>
    <row r="94" hidden="1"/>
    <row r="95" hidden="1"/>
    <row r="96" ht="12.75" hidden="1" customHeight="1"/>
    <row r="97" ht="12.75" hidden="1" customHeight="1"/>
  </sheetData>
  <sheetProtection password="81D4" sheet="1" objects="1" scenarios="1"/>
  <mergeCells count="43">
    <mergeCell ref="A1:S1"/>
    <mergeCell ref="C5:I6"/>
    <mergeCell ref="R6:S6"/>
    <mergeCell ref="A8:K9"/>
    <mergeCell ref="I23:K23"/>
    <mergeCell ref="I22:K22"/>
    <mergeCell ref="I10:K10"/>
    <mergeCell ref="I19:K19"/>
    <mergeCell ref="I15:K15"/>
    <mergeCell ref="I17:K17"/>
    <mergeCell ref="I18:K18"/>
    <mergeCell ref="I12:K12"/>
    <mergeCell ref="M8:S9"/>
    <mergeCell ref="I11:K11"/>
    <mergeCell ref="I20:K20"/>
    <mergeCell ref="I14:K14"/>
    <mergeCell ref="DI34:DM35"/>
    <mergeCell ref="DN34:DS35"/>
    <mergeCell ref="I26:K26"/>
    <mergeCell ref="I27:K27"/>
    <mergeCell ref="I31:K31"/>
    <mergeCell ref="I32:K32"/>
    <mergeCell ref="I33:K33"/>
    <mergeCell ref="I30:K30"/>
    <mergeCell ref="DD29:DD30"/>
    <mergeCell ref="M35:S36"/>
    <mergeCell ref="I29:K29"/>
    <mergeCell ref="DP23:DP24"/>
    <mergeCell ref="DP30:DP31"/>
    <mergeCell ref="I28:K28"/>
    <mergeCell ref="DJ27:DJ28"/>
    <mergeCell ref="I13:K13"/>
    <mergeCell ref="I16:K16"/>
    <mergeCell ref="DD21:DD22"/>
    <mergeCell ref="DD25:DD26"/>
    <mergeCell ref="I21:K21"/>
    <mergeCell ref="I25:K25"/>
    <mergeCell ref="I24:K24"/>
    <mergeCell ref="DD11:DG12"/>
    <mergeCell ref="DJ11:DM12"/>
    <mergeCell ref="DP11:DS12"/>
    <mergeCell ref="DJ19:DJ20"/>
    <mergeCell ref="DD17:DD18"/>
  </mergeCells>
  <phoneticPr fontId="2" type="noConversion"/>
  <conditionalFormatting sqref="F14:F22 F25:F33">
    <cfRule type="expression" dxfId="79" priority="234" stopIfTrue="1">
      <formula>IF(AND($F14&gt;$G14,ISNUMBER($F14),ISNUMBER($G14)),1,0)</formula>
    </cfRule>
  </conditionalFormatting>
  <conditionalFormatting sqref="G14:G22 G25:G33">
    <cfRule type="expression" dxfId="78" priority="235" stopIfTrue="1">
      <formula>IF(AND($F14&lt;$G14,ISNUMBER($F14),ISNUMBER($G14)),1,0)</formula>
    </cfRule>
  </conditionalFormatting>
  <conditionalFormatting sqref="E10:E33">
    <cfRule type="expression" dxfId="77" priority="260" stopIfTrue="1">
      <formula>IF(AND($F10&gt;$G10,ISNUMBER($F10),ISNUMBER($G10)),1,0)</formula>
    </cfRule>
    <cfRule type="expression" dxfId="76" priority="261" stopIfTrue="1">
      <formula>IF(AND($F10&lt;$G10,ISNUMBER($F10),ISNUMBER($G10)),1,0)</formula>
    </cfRule>
    <cfRule type="expression" dxfId="75" priority="262" stopIfTrue="1">
      <formula>IF(AND($F10=$G10,ISNUMBER($F10),ISNUMBER($G10)),1,0)</formula>
    </cfRule>
  </conditionalFormatting>
  <conditionalFormatting sqref="H10:H33">
    <cfRule type="expression" dxfId="74" priority="263" stopIfTrue="1">
      <formula>IF(AND($F10&lt;$G10,ISNUMBER($F10),ISNUMBER($G10)),1,0)</formula>
    </cfRule>
    <cfRule type="expression" dxfId="73" priority="264" stopIfTrue="1">
      <formula>IF(AND($F10&gt;$G10,ISNUMBER($F10),ISNUMBER($G10)),1,0)</formula>
    </cfRule>
    <cfRule type="expression" dxfId="72" priority="265" stopIfTrue="1">
      <formula>IF(AND($F10=$G10,ISNUMBER($F10),ISNUMBER($G10)),1,0)</formula>
    </cfRule>
  </conditionalFormatting>
  <conditionalFormatting sqref="F12:F13">
    <cfRule type="expression" dxfId="71" priority="105" stopIfTrue="1">
      <formula>IF(AND($F12&gt;$G12,ISNUMBER($F12),ISNUMBER($G12)),1,0)</formula>
    </cfRule>
  </conditionalFormatting>
  <conditionalFormatting sqref="G12:G13">
    <cfRule type="expression" dxfId="70" priority="106" stopIfTrue="1">
      <formula>IF(AND($F12&lt;$G12,ISNUMBER($F12),ISNUMBER($G12)),1,0)</formula>
    </cfRule>
  </conditionalFormatting>
  <conditionalFormatting sqref="F10:F11">
    <cfRule type="expression" dxfId="69" priority="103" stopIfTrue="1">
      <formula>IF(AND($F10&gt;$G10,ISNUMBER($F10),ISNUMBER($G10)),1,0)</formula>
    </cfRule>
  </conditionalFormatting>
  <conditionalFormatting sqref="G10:G11">
    <cfRule type="expression" dxfId="68" priority="104" stopIfTrue="1">
      <formula>IF(AND($F10&lt;$G10,ISNUMBER($F10),ISNUMBER($G10)),1,0)</formula>
    </cfRule>
  </conditionalFormatting>
  <conditionalFormatting sqref="F23:F24">
    <cfRule type="expression" dxfId="67" priority="101" stopIfTrue="1">
      <formula>IF(AND($F23&gt;$G23,ISNUMBER($F23),ISNUMBER($G23)),1,0)</formula>
    </cfRule>
  </conditionalFormatting>
  <conditionalFormatting sqref="G23:G24">
    <cfRule type="expression" dxfId="66" priority="102" stopIfTrue="1">
      <formula>IF(AND($F23&lt;$G23,ISNUMBER($F23),ISNUMBER($G23)),1,0)</formula>
    </cfRule>
  </conditionalFormatting>
  <conditionalFormatting sqref="DR23 DL27 DF29 DF25 DL19 DF17 DF21 DR30">
    <cfRule type="expression" dxfId="65" priority="51" stopIfTrue="1">
      <formula>IF(AND(#REF!&gt;#REF!,ISNUMBER(#REF!),ISNUMBER(#REF!)),1,0)</formula>
    </cfRule>
  </conditionalFormatting>
  <conditionalFormatting sqref="DR24 DL28 DF30 DF26 DL20 DF18 DF22 DR31">
    <cfRule type="expression" dxfId="64" priority="52" stopIfTrue="1">
      <formula>IF(AND(#REF!&lt;#REF!,ISNUMBER(#REF!),ISNUMBER(#REF!)),1,0)</formula>
    </cfRule>
  </conditionalFormatting>
  <conditionalFormatting sqref="DG29">
    <cfRule type="expression" dxfId="63" priority="49" stopIfTrue="1">
      <formula>IF(AND($ER36&gt;$ER37,ISNUMBER($ER36),ISNUMBER($ER37)),1,0)</formula>
    </cfRule>
  </conditionalFormatting>
  <conditionalFormatting sqref="DG30">
    <cfRule type="expression" dxfId="62" priority="50" stopIfTrue="1">
      <formula>IF(AND($ER36&lt;$ER37,ISNUMBER($ER36),ISNUMBER($ER37)),1,0)</formula>
    </cfRule>
  </conditionalFormatting>
  <conditionalFormatting sqref="DG29">
    <cfRule type="expression" dxfId="61" priority="48">
      <formula>IF(OR(DF29="",DF30="",DF29&lt;&gt;DF30),1,0)</formula>
    </cfRule>
  </conditionalFormatting>
  <conditionalFormatting sqref="DG30">
    <cfRule type="expression" dxfId="60" priority="47">
      <formula>IF(OR(DF29="",DF30="",DF29&lt;&gt;DF30),1,0)</formula>
    </cfRule>
  </conditionalFormatting>
  <conditionalFormatting sqref="DG25">
    <cfRule type="expression" dxfId="59" priority="43" stopIfTrue="1">
      <formula>IF(AND($EG28&gt;$EG29,ISNUMBER($EG28),ISNUMBER($EG29)),1,0)</formula>
    </cfRule>
  </conditionalFormatting>
  <conditionalFormatting sqref="DG26">
    <cfRule type="expression" dxfId="58" priority="44" stopIfTrue="1">
      <formula>IF(AND($EG28&lt;$EG29,ISNUMBER($EG28),ISNUMBER($EG29)),1,0)</formula>
    </cfRule>
  </conditionalFormatting>
  <conditionalFormatting sqref="DG25">
    <cfRule type="expression" dxfId="57" priority="42">
      <formula>IF(OR(DF25="",DF26="",DF25&lt;&gt;DF26),1,0)</formula>
    </cfRule>
  </conditionalFormatting>
  <conditionalFormatting sqref="DG26">
    <cfRule type="expression" dxfId="56" priority="41">
      <formula>IF(OR(DF25="",DF26="",DF25&lt;&gt;DF26),1,0)</formula>
    </cfRule>
  </conditionalFormatting>
  <conditionalFormatting sqref="DG21">
    <cfRule type="expression" dxfId="55" priority="37" stopIfTrue="1">
      <formula>IF(AND($ER20&gt;$ER21,ISNUMBER($ER20),ISNUMBER($ER21)),1,0)</formula>
    </cfRule>
  </conditionalFormatting>
  <conditionalFormatting sqref="DG22">
    <cfRule type="expression" dxfId="54" priority="38" stopIfTrue="1">
      <formula>IF(AND($ER20&lt;$ER21,ISNUMBER($ER20),ISNUMBER($ER21)),1,0)</formula>
    </cfRule>
  </conditionalFormatting>
  <conditionalFormatting sqref="DG21">
    <cfRule type="expression" dxfId="53" priority="36">
      <formula>IF(OR(DF21="",DF22="",DF21&lt;&gt;DF22),1,0)</formula>
    </cfRule>
  </conditionalFormatting>
  <conditionalFormatting sqref="DG22">
    <cfRule type="expression" dxfId="52" priority="35">
      <formula>IF(OR(DF21="",DF22="",DF21&lt;&gt;DF22),1,0)</formula>
    </cfRule>
  </conditionalFormatting>
  <conditionalFormatting sqref="DG17">
    <cfRule type="expression" dxfId="51" priority="31" stopIfTrue="1">
      <formula>IF(AND($ER12&gt;$ER13,ISNUMBER($ER12),ISNUMBER($ER13)),1,0)</formula>
    </cfRule>
  </conditionalFormatting>
  <conditionalFormatting sqref="DG18">
    <cfRule type="expression" dxfId="50" priority="32" stopIfTrue="1">
      <formula>IF(AND($ER12&lt;$ER13,ISNUMBER($ER12),ISNUMBER($ER13)),1,0)</formula>
    </cfRule>
  </conditionalFormatting>
  <conditionalFormatting sqref="DG17">
    <cfRule type="expression" dxfId="49" priority="30">
      <formula>IF(OR(DF17="",DF18="",DF17&lt;&gt;DF18),1,0)</formula>
    </cfRule>
  </conditionalFormatting>
  <conditionalFormatting sqref="DG18">
    <cfRule type="expression" dxfId="48" priority="29">
      <formula>IF(OR(DF17="",DF18="",DF17&lt;&gt;DF18),1,0)</formula>
    </cfRule>
  </conditionalFormatting>
  <conditionalFormatting sqref="DM19">
    <cfRule type="expression" dxfId="47" priority="25" stopIfTrue="1">
      <formula>IF(AND($ER16&gt;$ER17,ISNUMBER($ER16),ISNUMBER($ER17)),1,0)</formula>
    </cfRule>
  </conditionalFormatting>
  <conditionalFormatting sqref="DM20">
    <cfRule type="expression" dxfId="46" priority="26" stopIfTrue="1">
      <formula>IF(AND($ER16&lt;$ER17,ISNUMBER($ER16),ISNUMBER($ER17)),1,0)</formula>
    </cfRule>
  </conditionalFormatting>
  <conditionalFormatting sqref="DM19">
    <cfRule type="expression" dxfId="45" priority="24">
      <formula>IF(OR(DL19="",DL20="",DL19&lt;&gt;DL20),1,0)</formula>
    </cfRule>
  </conditionalFormatting>
  <conditionalFormatting sqref="DM20">
    <cfRule type="expression" dxfId="44" priority="23">
      <formula>IF(OR(DL19="",DL20="",DL19&lt;&gt;DL20),1,0)</formula>
    </cfRule>
  </conditionalFormatting>
  <conditionalFormatting sqref="DM27">
    <cfRule type="expression" dxfId="43" priority="19" stopIfTrue="1">
      <formula>IF(AND($ER32&gt;$ER33,ISNUMBER($ER32),ISNUMBER($ER33)),1,0)</formula>
    </cfRule>
  </conditionalFormatting>
  <conditionalFormatting sqref="DM28">
    <cfRule type="expression" dxfId="42" priority="20" stopIfTrue="1">
      <formula>IF(AND($ER32&lt;$ER33,ISNUMBER($ER32),ISNUMBER($ER33)),1,0)</formula>
    </cfRule>
  </conditionalFormatting>
  <conditionalFormatting sqref="DM27">
    <cfRule type="expression" dxfId="41" priority="18">
      <formula>IF(OR(DL27="",DL28="",DL27&lt;&gt;DL28),1,0)</formula>
    </cfRule>
  </conditionalFormatting>
  <conditionalFormatting sqref="DM28">
    <cfRule type="expression" dxfId="40" priority="17">
      <formula>IF(OR(DL27="",DL28="",DL27&lt;&gt;DL28),1,0)</formula>
    </cfRule>
  </conditionalFormatting>
  <conditionalFormatting sqref="DS23">
    <cfRule type="expression" dxfId="39" priority="12">
      <formula>IF(OR(DR23="",DR24="",DR23&lt;&gt;DR24),1,0)</formula>
    </cfRule>
  </conditionalFormatting>
  <conditionalFormatting sqref="DS24">
    <cfRule type="expression" dxfId="38" priority="11">
      <formula>IF(OR(DR23="",DR24="",DR23&lt;&gt;DR24),1,0)</formula>
    </cfRule>
  </conditionalFormatting>
  <conditionalFormatting sqref="DE17">
    <cfRule type="expression" dxfId="37" priority="2100" stopIfTrue="1">
      <formula>IF($DE17=$W39,1,0)</formula>
    </cfRule>
    <cfRule type="expression" dxfId="36" priority="2101" stopIfTrue="1">
      <formula>IF($DE18=$W39,1,0)</formula>
    </cfRule>
  </conditionalFormatting>
  <conditionalFormatting sqref="DE18">
    <cfRule type="expression" dxfId="35" priority="2102" stopIfTrue="1">
      <formula>IF($DE18=$W39,1,0)</formula>
    </cfRule>
    <cfRule type="expression" dxfId="34" priority="2103" stopIfTrue="1">
      <formula>IF($DE17=$W39,1,0)</formula>
    </cfRule>
  </conditionalFormatting>
  <conditionalFormatting sqref="DE21">
    <cfRule type="expression" dxfId="33" priority="2140" stopIfTrue="1">
      <formula>IF($DE21=$W40,1,0)</formula>
    </cfRule>
    <cfRule type="expression" dxfId="32" priority="2141" stopIfTrue="1">
      <formula>IF($DE22=$W40,1,0)</formula>
    </cfRule>
  </conditionalFormatting>
  <conditionalFormatting sqref="DE22">
    <cfRule type="expression" dxfId="31" priority="2142" stopIfTrue="1">
      <formula>IF($DE22=$W40,1,0)</formula>
    </cfRule>
    <cfRule type="expression" dxfId="30" priority="2143" stopIfTrue="1">
      <formula>IF($DE21=$W40,1,0)</formula>
    </cfRule>
  </conditionalFormatting>
  <conditionalFormatting sqref="DK19">
    <cfRule type="expression" dxfId="29" priority="2164" stopIfTrue="1">
      <formula>IF($DK19=$W46,1,0)</formula>
    </cfRule>
    <cfRule type="expression" dxfId="28" priority="2165" stopIfTrue="1">
      <formula>IF($DK20=$W46,1,0)</formula>
    </cfRule>
  </conditionalFormatting>
  <conditionalFormatting sqref="DK20">
    <cfRule type="expression" dxfId="27" priority="2166" stopIfTrue="1">
      <formula>IF($DK20=$W46,1,0)</formula>
    </cfRule>
    <cfRule type="expression" dxfId="26" priority="2167" stopIfTrue="1">
      <formula>IF($DK19=$W46,1,0)</formula>
    </cfRule>
  </conditionalFormatting>
  <conditionalFormatting sqref="DE25">
    <cfRule type="expression" dxfId="25" priority="2192" stopIfTrue="1">
      <formula>IF($DE25=$W41,1,0)</formula>
    </cfRule>
    <cfRule type="expression" dxfId="24" priority="2193" stopIfTrue="1">
      <formula>IF($DE26=$W41,1,0)</formula>
    </cfRule>
  </conditionalFormatting>
  <conditionalFormatting sqref="DE26">
    <cfRule type="expression" dxfId="23" priority="2194" stopIfTrue="1">
      <formula>IF($DE26=$W41,1,0)</formula>
    </cfRule>
    <cfRule type="expression" dxfId="22" priority="2195" stopIfTrue="1">
      <formula>IF($DE25=$W41,1,0)</formula>
    </cfRule>
  </conditionalFormatting>
  <conditionalFormatting sqref="DE29">
    <cfRule type="expression" dxfId="21" priority="2224" stopIfTrue="1">
      <formula>IF($DE29=$W42,1,0)</formula>
    </cfRule>
    <cfRule type="expression" dxfId="20" priority="2225" stopIfTrue="1">
      <formula>IF($DE30=$W42,1,0)</formula>
    </cfRule>
  </conditionalFormatting>
  <conditionalFormatting sqref="DE30">
    <cfRule type="expression" dxfId="19" priority="2226" stopIfTrue="1">
      <formula>IF($DE30=$W42,1,0)</formula>
    </cfRule>
    <cfRule type="expression" dxfId="18" priority="2227" stopIfTrue="1">
      <formula>IF($DE29=$W42,1,0)</formula>
    </cfRule>
  </conditionalFormatting>
  <conditionalFormatting sqref="DK27">
    <cfRule type="expression" dxfId="17" priority="2240" stopIfTrue="1">
      <formula>IF($DK27=$W47,1,0)</formula>
    </cfRule>
    <cfRule type="expression" dxfId="16" priority="2241" stopIfTrue="1">
      <formula>IF($DK28=$W47,1,0)</formula>
    </cfRule>
  </conditionalFormatting>
  <conditionalFormatting sqref="DK28">
    <cfRule type="expression" dxfId="15" priority="2242" stopIfTrue="1">
      <formula>IF($DK28=$W47,1,0)</formula>
    </cfRule>
    <cfRule type="expression" dxfId="14" priority="2243" stopIfTrue="1">
      <formula>IF($DK27=$W47,1,0)</formula>
    </cfRule>
  </conditionalFormatting>
  <conditionalFormatting sqref="DS23">
    <cfRule type="expression" dxfId="13" priority="2294" stopIfTrue="1">
      <formula>IF(AND($ER23&gt;$EM24,ISNUMBER($ER23),ISNUMBER($EM24)),1,0)</formula>
    </cfRule>
  </conditionalFormatting>
  <conditionalFormatting sqref="DS24">
    <cfRule type="expression" dxfId="12" priority="2295" stopIfTrue="1">
      <formula>IF(AND($ER23&lt;$EM24,ISNUMBER($ER23),ISNUMBER($EM24)),1,0)</formula>
    </cfRule>
  </conditionalFormatting>
  <conditionalFormatting sqref="DQ23">
    <cfRule type="expression" dxfId="11" priority="2324" stopIfTrue="1">
      <formula>IF($DQ23=$W55,1,0)</formula>
    </cfRule>
    <cfRule type="expression" dxfId="10" priority="2325" stopIfTrue="1">
      <formula>IF($DQ24=$W55,1,0)</formula>
    </cfRule>
  </conditionalFormatting>
  <conditionalFormatting sqref="DQ24">
    <cfRule type="expression" dxfId="9" priority="2326" stopIfTrue="1">
      <formula>IF($DQ24=$W55,1,0)</formula>
    </cfRule>
    <cfRule type="expression" dxfId="8" priority="2327" stopIfTrue="1">
      <formula>IF($DQ23=$W55,1,0)</formula>
    </cfRule>
  </conditionalFormatting>
  <conditionalFormatting sqref="DS30">
    <cfRule type="expression" dxfId="7" priority="8">
      <formula>IF(OR(DR30="",DR31="",DR30&lt;&gt;DR31),1,0)</formula>
    </cfRule>
  </conditionalFormatting>
  <conditionalFormatting sqref="DS31">
    <cfRule type="expression" dxfId="6" priority="7">
      <formula>IF(OR(DR30="",DR31="",DR30&lt;&gt;DR31),1,0)</formula>
    </cfRule>
  </conditionalFormatting>
  <conditionalFormatting sqref="DS30">
    <cfRule type="expression" dxfId="5" priority="6" stopIfTrue="1">
      <formula>IF(AND($ER28&gt;$EM29,ISNUMBER($ER28),ISNUMBER($EM29)),1,0)</formula>
    </cfRule>
  </conditionalFormatting>
  <conditionalFormatting sqref="DS31">
    <cfRule type="expression" dxfId="4" priority="5" stopIfTrue="1">
      <formula>IF(AND($ER28&lt;$EM29,ISNUMBER($ER28),ISNUMBER($EM29)),1,0)</formula>
    </cfRule>
  </conditionalFormatting>
  <conditionalFormatting sqref="DQ30">
    <cfRule type="expression" dxfId="3" priority="2368" stopIfTrue="1">
      <formula>IF($DQ30=$W52,1,0)</formula>
    </cfRule>
    <cfRule type="expression" dxfId="2" priority="2369" stopIfTrue="1">
      <formula>IF($DQ31=$W52,1,0)</formula>
    </cfRule>
  </conditionalFormatting>
  <conditionalFormatting sqref="DQ31">
    <cfRule type="expression" dxfId="1" priority="2370" stopIfTrue="1">
      <formula>IF($DQ31=$W52,1,0)</formula>
    </cfRule>
    <cfRule type="expression" dxfId="0" priority="2371" stopIfTrue="1">
      <formula>IF($DQ30=$W52,1,0)</formula>
    </cfRule>
  </conditionalFormatting>
  <dataValidations count="2">
    <dataValidation type="list" allowBlank="1" showInputMessage="1" showErrorMessage="1" sqref="DR30:DR31 DR23:DR24 DF29:DF30 DL19:DL20 DF17:DF18 F10:G33 DF21:DF22 DF25:DF26 DL27:DL28">
      <formula1>"0,1,2,3,4,5,6,7,8,9"</formula1>
    </dataValidation>
    <dataValidation type="list" allowBlank="1" showInputMessage="1" showErrorMessage="1" sqref="DS30:DS31 DS23:DS24 DG29:DG30 DM19:DM20 DG17:DG18 DG21:DG22 DG25:DG26 DM27:DM28">
      <formula1>"0,1,2,3,4,5,6,7,8,9,10,11,12,13,14,15,16,17,18,19,20"</formula1>
    </dataValidation>
  </dataValidations>
  <hyperlinks>
    <hyperlink ref="C5:I5" r:id="rId1" tooltip="Excel Schedule" display="Home Page: www.excely.com"/>
    <hyperlink ref="C5:I6" r:id="rId2" tooltip="2018 African Nations Championship Schedule in Excel" display="Home Page: www.excely.com"/>
    <hyperlink ref="J5:K5" r:id="rId3" tooltip="Live Scores Online" display="Live Scores Online"/>
    <hyperlink ref="M35:S36" r:id="rId4" tooltip="Excel Techniques for Sorting Teams" display="Excel Techniques for Sorting Teams"/>
    <hyperlink ref="M8:S9" r:id="rId5" tooltip="Excel Template to Compare Predictions" display="Excel Template to Compare Predictions"/>
  </hyperlinks>
  <printOptions horizontalCentered="1"/>
  <pageMargins left="0.59055118110236204" right="0.59055118110236204" top="0.78740157480314998" bottom="0.78740157480314998" header="0.511811023622047" footer="0.511811023622047"/>
  <pageSetup paperSize="9" scale="57" orientation="landscape" r:id="rId6"/>
  <headerFooter alignWithMargins="0">
    <oddFooter>&amp;Cwww.excely.com (c) 2017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</vt:lpstr>
      <vt:lpstr>Settings</vt:lpstr>
      <vt:lpstr>2018 African Nations</vt:lpstr>
      <vt:lpstr>db_fifarank</vt:lpstr>
      <vt:lpstr>gmt_delta</vt:lpstr>
      <vt:lpstr>itype</vt:lpstr>
      <vt:lpstr>lang</vt:lpstr>
      <vt:lpstr>lang_list</vt:lpstr>
      <vt:lpstr>lookup_3rd</vt:lpstr>
      <vt:lpstr>'2018 African Nations'!Print_Area</vt:lpstr>
      <vt:lpstr>T</vt:lpstr>
    </vt:vector>
  </TitlesOfParts>
  <Company>Excely.com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2016 Schedule</dc:title>
  <dc:creator>Denys Kozyr</dc:creator>
  <cp:lastModifiedBy>Azure</cp:lastModifiedBy>
  <cp:lastPrinted>2016-04-03T12:59:36Z</cp:lastPrinted>
  <dcterms:created xsi:type="dcterms:W3CDTF">2008-09-24T12:14:29Z</dcterms:created>
  <dcterms:modified xsi:type="dcterms:W3CDTF">2017-12-23T08:28:55Z</dcterms:modified>
</cp:coreProperties>
</file>