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gork\Desktop\Denys\"/>
    </mc:Choice>
  </mc:AlternateContent>
  <xr:revisionPtr revIDLastSave="0" documentId="13_ncr:1_{F3B081E5-E379-4D33-9320-6689F2CB5303}" xr6:coauthVersionLast="45" xr6:coauthVersionMax="45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T" sheetId="10" state="hidden" r:id="rId1"/>
    <sheet name="Settings" sheetId="9" r:id="rId2"/>
    <sheet name="World Championship 2020" sheetId="8" r:id="rId3"/>
  </sheets>
  <definedNames>
    <definedName name="gmt_delta">Settings!$C$14</definedName>
    <definedName name="goal_away">'World Championship 2020'!$BK$7:$BK$62</definedName>
    <definedName name="goal_away_a">'World Championship 2020'!$BQ$7:$BQ$62</definedName>
    <definedName name="goal_away_b">'World Championship 2020'!$BW$7:$BW$62</definedName>
    <definedName name="goal_away2">'World Championship 2020'!$CC$7:$CC$89</definedName>
    <definedName name="goal_home">'World Championship 2020'!$BJ$7:$BJ$62</definedName>
    <definedName name="goal_home_a">'World Championship 2020'!$BP$7:$BP$62</definedName>
    <definedName name="goal_home_b">'World Championship 2020'!$BV$7:$BV$62</definedName>
    <definedName name="goal_home2">'World Championship 2020'!$CB$7:$CB$89</definedName>
    <definedName name="lang">Settings!$C$13</definedName>
    <definedName name="lang_list">T!$A$1:$D$1</definedName>
    <definedName name="T">T!$1:$1048576</definedName>
    <definedName name="team_away">'World Championship 2020'!$H$7:$H$62</definedName>
    <definedName name="team_away2">'World Championship 2020'!$H$7:$H$62</definedName>
    <definedName name="team_home">'World Championship 2020'!$D$7:$D$62</definedName>
    <definedName name="team_home2">'World Championship 2020'!$D$7:$D$62</definedName>
    <definedName name="wdl">'World Championship 2020'!$BH$7:$BI$62</definedName>
    <definedName name="wdl_a">'World Championship 2020'!$BN$7:$BO$62</definedName>
    <definedName name="wdl_b">'World Championship 2020'!$BT$7:$BU$62</definedName>
    <definedName name="_xlnm.Print_Area" localSheetId="2">'World Championship 2020'!$A$1:$R$80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82" i="8" l="1"/>
  <c r="T78" i="8"/>
  <c r="C82" i="8"/>
  <c r="C78" i="8"/>
  <c r="I82" i="8"/>
  <c r="I78" i="8"/>
  <c r="I74" i="8"/>
  <c r="I73" i="8"/>
  <c r="I69" i="8"/>
  <c r="I68" i="8"/>
  <c r="I66" i="8"/>
  <c r="I67" i="8"/>
  <c r="T74" i="8"/>
  <c r="A74" i="8" s="1"/>
  <c r="T73" i="8"/>
  <c r="T69" i="8"/>
  <c r="T68" i="8"/>
  <c r="B68" i="8" s="1"/>
  <c r="T67" i="8"/>
  <c r="T66" i="8"/>
  <c r="B66" i="8"/>
  <c r="B69" i="8"/>
  <c r="B67" i="8"/>
  <c r="B73" i="8"/>
  <c r="A73" i="8"/>
  <c r="B74" i="8" l="1"/>
  <c r="A69" i="8"/>
  <c r="A68" i="8"/>
  <c r="A67" i="8"/>
  <c r="A66" i="8"/>
  <c r="C14" i="9" l="1"/>
  <c r="C60" i="8" l="1"/>
  <c r="T60" i="8" s="1"/>
  <c r="C56" i="8"/>
  <c r="T56" i="8" s="1"/>
  <c r="C52" i="8"/>
  <c r="T52" i="8" s="1"/>
  <c r="C43" i="8"/>
  <c r="T43" i="8" s="1"/>
  <c r="C59" i="8"/>
  <c r="T59" i="8" s="1"/>
  <c r="C55" i="8"/>
  <c r="T55" i="8" s="1"/>
  <c r="C51" i="8"/>
  <c r="T51" i="8" s="1"/>
  <c r="C61" i="8"/>
  <c r="T61" i="8" s="1"/>
  <c r="C58" i="8"/>
  <c r="T58" i="8" s="1"/>
  <c r="C54" i="8"/>
  <c r="T54" i="8" s="1"/>
  <c r="C50" i="8"/>
  <c r="T50" i="8" s="1"/>
  <c r="C48" i="8"/>
  <c r="T48" i="8" s="1"/>
  <c r="C39" i="8"/>
  <c r="T39" i="8" s="1"/>
  <c r="C57" i="8"/>
  <c r="T57" i="8" s="1"/>
  <c r="C53" i="8"/>
  <c r="T53" i="8" s="1"/>
  <c r="C49" i="8"/>
  <c r="T49" i="8" s="1"/>
  <c r="C47" i="8"/>
  <c r="T47" i="8" s="1"/>
  <c r="C46" i="8"/>
  <c r="T46" i="8" s="1"/>
  <c r="C42" i="8"/>
  <c r="T42" i="8" s="1"/>
  <c r="C40" i="8"/>
  <c r="T40" i="8" s="1"/>
  <c r="C45" i="8"/>
  <c r="T45" i="8" s="1"/>
  <c r="C41" i="8"/>
  <c r="T41" i="8" s="1"/>
  <c r="C62" i="8"/>
  <c r="T62" i="8" s="1"/>
  <c r="C44" i="8"/>
  <c r="T44" i="8" s="1"/>
  <c r="C20" i="8"/>
  <c r="T20" i="8" s="1"/>
  <c r="C16" i="8"/>
  <c r="T16" i="8" s="1"/>
  <c r="C28" i="8"/>
  <c r="T28" i="8" s="1"/>
  <c r="C27" i="8"/>
  <c r="T27" i="8" s="1"/>
  <c r="C19" i="8"/>
  <c r="T19" i="8" s="1"/>
  <c r="C15" i="8"/>
  <c r="T15" i="8" s="1"/>
  <c r="C35" i="8"/>
  <c r="T35" i="8" s="1"/>
  <c r="C18" i="8"/>
  <c r="T18" i="8" s="1"/>
  <c r="C14" i="8"/>
  <c r="T14" i="8" s="1"/>
  <c r="C24" i="8"/>
  <c r="T24" i="8" s="1"/>
  <c r="C17" i="8"/>
  <c r="T17" i="8" s="1"/>
  <c r="C13" i="8"/>
  <c r="T13" i="8" s="1"/>
  <c r="C22" i="8"/>
  <c r="T22" i="8" s="1"/>
  <c r="C21" i="8"/>
  <c r="T21" i="8" s="1"/>
  <c r="C38" i="8"/>
  <c r="T38" i="8" s="1"/>
  <c r="C34" i="8"/>
  <c r="T34" i="8" s="1"/>
  <c r="C30" i="8"/>
  <c r="T30" i="8" s="1"/>
  <c r="C26" i="8"/>
  <c r="T26" i="8" s="1"/>
  <c r="C31" i="8"/>
  <c r="T31" i="8" s="1"/>
  <c r="C37" i="8"/>
  <c r="T37" i="8" s="1"/>
  <c r="C33" i="8"/>
  <c r="T33" i="8" s="1"/>
  <c r="C29" i="8"/>
  <c r="T29" i="8" s="1"/>
  <c r="C25" i="8"/>
  <c r="T25" i="8" s="1"/>
  <c r="C32" i="8"/>
  <c r="T32" i="8" s="1"/>
  <c r="C23" i="8"/>
  <c r="T23" i="8" s="1"/>
  <c r="C36" i="8"/>
  <c r="T36" i="8" s="1"/>
  <c r="C8" i="8"/>
  <c r="T8" i="8" s="1"/>
  <c r="C10" i="8"/>
  <c r="T10" i="8" s="1"/>
  <c r="C9" i="8"/>
  <c r="T9" i="8" s="1"/>
  <c r="C7" i="8"/>
  <c r="T7" i="8" s="1"/>
  <c r="C12" i="8"/>
  <c r="T12" i="8" s="1"/>
  <c r="C11" i="8"/>
  <c r="T11" i="8" s="1"/>
  <c r="W15" i="8"/>
  <c r="W18" i="8"/>
  <c r="BJ19" i="8"/>
  <c r="BK16" i="8"/>
  <c r="BK17" i="8"/>
  <c r="BJ20" i="8"/>
  <c r="BJ56" i="8"/>
  <c r="CB84" i="8"/>
  <c r="CC81" i="8"/>
  <c r="BK46" i="8"/>
  <c r="CB76" i="8"/>
  <c r="CB74" i="8"/>
  <c r="CC73" i="8"/>
  <c r="BK39" i="8"/>
  <c r="CB68" i="8"/>
  <c r="BK33" i="8"/>
  <c r="BK29" i="8"/>
  <c r="BK11" i="8"/>
  <c r="C13" i="9"/>
  <c r="I27" i="8" s="1"/>
  <c r="P3" i="8"/>
  <c r="BK8" i="8"/>
  <c r="BJ8" i="8"/>
  <c r="BJ7" i="8"/>
  <c r="BF73" i="8"/>
  <c r="E84" i="8" s="1"/>
  <c r="B12" i="10"/>
  <c r="C12" i="10"/>
  <c r="D12" i="10"/>
  <c r="B13" i="10"/>
  <c r="C13" i="10"/>
  <c r="D13" i="10"/>
  <c r="BI8" i="8"/>
  <c r="BH8" i="8"/>
  <c r="BK23" i="8"/>
  <c r="CB87" i="8"/>
  <c r="BK14" i="8"/>
  <c r="BH13" i="8"/>
  <c r="BZ74" i="8"/>
  <c r="CC74" i="8"/>
  <c r="BH50" i="8"/>
  <c r="BH61" i="8"/>
  <c r="BK59" i="8"/>
  <c r="CC66" i="8"/>
  <c r="BJ31" i="8"/>
  <c r="BJ44" i="8"/>
  <c r="BK52" i="8"/>
  <c r="BJ21" i="8"/>
  <c r="BK34" i="8"/>
  <c r="BK18" i="8"/>
  <c r="BJ14" i="8"/>
  <c r="BJ24" i="8"/>
  <c r="BJ33" i="8"/>
  <c r="CC68" i="8"/>
  <c r="BJ37" i="8"/>
  <c r="BJ40" i="8"/>
  <c r="BJ43" i="8"/>
  <c r="BK45" i="8"/>
  <c r="CB79" i="8"/>
  <c r="BJ50" i="8"/>
  <c r="CB85" i="8"/>
  <c r="CB86" i="8"/>
  <c r="BK56" i="8"/>
  <c r="BJ57" i="8"/>
  <c r="BJ60" i="8"/>
  <c r="AH53" i="8"/>
  <c r="AJ53" i="8"/>
  <c r="BI28" i="8"/>
  <c r="BH32" i="8"/>
  <c r="CA66" i="8"/>
  <c r="BI14" i="8"/>
  <c r="BK9" i="8"/>
  <c r="CA68" i="8"/>
  <c r="BJ12" i="8"/>
  <c r="BK10" i="8"/>
  <c r="BK25" i="8"/>
  <c r="BJ25" i="8"/>
  <c r="BK30" i="8"/>
  <c r="BJ30" i="8"/>
  <c r="BJ35" i="8"/>
  <c r="BZ67" i="8"/>
  <c r="BK35" i="8"/>
  <c r="BK37" i="8"/>
  <c r="CC69" i="8"/>
  <c r="BJ38" i="8"/>
  <c r="BI39" i="8"/>
  <c r="CB71" i="8"/>
  <c r="CC71" i="8"/>
  <c r="CB72" i="8"/>
  <c r="BK40" i="8"/>
  <c r="CC75" i="8"/>
  <c r="BK43" i="8"/>
  <c r="CB75" i="8"/>
  <c r="CB77" i="8"/>
  <c r="BJ45" i="8"/>
  <c r="BH47" i="8"/>
  <c r="BK47" i="8"/>
  <c r="CB80" i="8"/>
  <c r="BK48" i="8"/>
  <c r="CB82" i="8"/>
  <c r="BK50" i="8"/>
  <c r="BJ51" i="8"/>
  <c r="BH51" i="8"/>
  <c r="CC83" i="8"/>
  <c r="BK53" i="8"/>
  <c r="BK54" i="8"/>
  <c r="BJ54" i="8"/>
  <c r="BI55" i="8"/>
  <c r="BJ55" i="8"/>
  <c r="BK57" i="8"/>
  <c r="BK58" i="8"/>
  <c r="BK60" i="8"/>
  <c r="BI15" i="8"/>
  <c r="BJ15" i="8"/>
  <c r="BI13" i="8"/>
  <c r="BJ13" i="8"/>
  <c r="BJ61" i="8"/>
  <c r="BI61" i="8"/>
  <c r="BK61" i="8"/>
  <c r="BK19" i="8"/>
  <c r="BJ58" i="8"/>
  <c r="CB89" i="8"/>
  <c r="BK55" i="8"/>
  <c r="BJ53" i="8"/>
  <c r="BK51" i="8"/>
  <c r="BJ48" i="8"/>
  <c r="BJ46" i="8"/>
  <c r="CC76" i="8"/>
  <c r="BK41" i="8"/>
  <c r="BJ39" i="8"/>
  <c r="BK36" i="8"/>
  <c r="CB67" i="8"/>
  <c r="BJ29" i="8"/>
  <c r="BJ11" i="8"/>
  <c r="BK20" i="8"/>
  <c r="BJ16" i="8"/>
  <c r="BK27" i="8"/>
  <c r="BK62" i="8"/>
  <c r="BK49" i="8"/>
  <c r="BJ42" i="8"/>
  <c r="BK22" i="8"/>
  <c r="BH22" i="8"/>
  <c r="BZ77" i="8"/>
  <c r="BH41" i="8"/>
  <c r="BJ62" i="8"/>
  <c r="BH20" i="8"/>
  <c r="BJ47" i="8"/>
  <c r="BI31" i="8"/>
  <c r="BJ10" i="8"/>
  <c r="BI12" i="8"/>
  <c r="BJ9" i="8"/>
  <c r="BJ22" i="8"/>
  <c r="BJ23" i="8"/>
  <c r="BI24" i="8"/>
  <c r="BH25" i="8"/>
  <c r="BK26" i="8"/>
  <c r="BI27" i="8"/>
  <c r="BH29" i="8"/>
  <c r="BI30" i="8"/>
  <c r="BK31" i="8"/>
  <c r="BI32" i="8"/>
  <c r="BI33" i="8"/>
  <c r="CC79" i="8"/>
  <c r="BH58" i="8"/>
  <c r="BI60" i="8"/>
  <c r="BI18" i="8"/>
  <c r="BK15" i="8"/>
  <c r="BK13" i="8"/>
  <c r="BI20" i="8"/>
  <c r="BJ28" i="8"/>
  <c r="CB66" i="8"/>
  <c r="BI34" i="8"/>
  <c r="CC67" i="8"/>
  <c r="BH35" i="8"/>
  <c r="BJ36" i="8"/>
  <c r="BI36" i="8"/>
  <c r="BI37" i="8"/>
  <c r="CA69" i="8"/>
  <c r="BZ71" i="8"/>
  <c r="BH39" i="8"/>
  <c r="CC72" i="8"/>
  <c r="BZ72" i="8"/>
  <c r="CB73" i="8"/>
  <c r="BZ73" i="8"/>
  <c r="BK42" i="8"/>
  <c r="BH42" i="8"/>
  <c r="BZ76" i="8"/>
  <c r="BH44" i="8"/>
  <c r="CC78" i="8"/>
  <c r="BH46" i="8"/>
  <c r="BI49" i="8"/>
  <c r="CA81" i="8"/>
  <c r="BZ82" i="8"/>
  <c r="BJ52" i="8"/>
  <c r="BH52" i="8"/>
  <c r="CA84" i="8"/>
  <c r="BZ84" i="8"/>
  <c r="CC86" i="8"/>
  <c r="BH55" i="8"/>
  <c r="CC87" i="8"/>
  <c r="BZ87" i="8"/>
  <c r="BZ88" i="8"/>
  <c r="BH56" i="8"/>
  <c r="BI56" i="8"/>
  <c r="CB88" i="8"/>
  <c r="BK21" i="8"/>
  <c r="BH21" i="8"/>
  <c r="BH19" i="8"/>
  <c r="BJ49" i="8"/>
  <c r="BK38" i="8"/>
  <c r="BJ32" i="8"/>
  <c r="BK28" i="8"/>
  <c r="BJ26" i="8"/>
  <c r="BK12" i="8"/>
  <c r="CC84" i="8"/>
  <c r="CC82" i="8"/>
  <c r="CB81" i="8"/>
  <c r="CC80" i="8"/>
  <c r="BK44" i="8"/>
  <c r="CB70" i="8"/>
  <c r="CC70" i="8"/>
  <c r="BK32" i="8"/>
  <c r="BH30" i="8"/>
  <c r="BJ34" i="8"/>
  <c r="BK24" i="8"/>
  <c r="BJ17" i="8"/>
  <c r="CB78" i="8"/>
  <c r="BJ59" i="8"/>
  <c r="BI17" i="8"/>
  <c r="BZ78" i="8"/>
  <c r="CA88" i="8"/>
  <c r="BZ79" i="8"/>
  <c r="BH48" i="8"/>
  <c r="BZ83" i="8"/>
  <c r="BJ27" i="8"/>
  <c r="CB83" i="8"/>
  <c r="BI11" i="8"/>
  <c r="CC88" i="8"/>
  <c r="CA71" i="8"/>
  <c r="BJ18" i="8"/>
  <c r="BH49" i="8"/>
  <c r="BH40" i="8"/>
  <c r="BH45" i="8"/>
  <c r="CA87" i="8"/>
  <c r="BZ80" i="8"/>
  <c r="BI52" i="8"/>
  <c r="CC89" i="8"/>
  <c r="CC85" i="8"/>
  <c r="BZ81" i="8"/>
  <c r="CC77" i="8"/>
  <c r="BJ41" i="8"/>
  <c r="CB69" i="8"/>
  <c r="BI29" i="8"/>
  <c r="BH27" i="8"/>
  <c r="BI21" i="8"/>
  <c r="BH11" i="8"/>
  <c r="BI62" i="8"/>
  <c r="BH14" i="8"/>
  <c r="BH28" i="8"/>
  <c r="BI22" i="8"/>
  <c r="BH59" i="8"/>
  <c r="BI19" i="8"/>
  <c r="BH31" i="8"/>
  <c r="BI9" i="8"/>
  <c r="BI25" i="8"/>
  <c r="BH24" i="8"/>
  <c r="BH60" i="8"/>
  <c r="BI16" i="8"/>
  <c r="BH10" i="8"/>
  <c r="BH33" i="8"/>
  <c r="BI23" i="8"/>
  <c r="BH15" i="8"/>
  <c r="BH16" i="8"/>
  <c r="BH62" i="8"/>
  <c r="BI26" i="8"/>
  <c r="BH12" i="8"/>
  <c r="BI59" i="8"/>
  <c r="BH23" i="8"/>
  <c r="BI7" i="8"/>
  <c r="BH17" i="8"/>
  <c r="BH26" i="8"/>
  <c r="BI58" i="8"/>
  <c r="BH18" i="8"/>
  <c r="BI10" i="8"/>
  <c r="BZ68" i="8"/>
  <c r="BH36" i="8"/>
  <c r="CA85" i="8"/>
  <c r="BI53" i="8"/>
  <c r="BZ66" i="8"/>
  <c r="BH34" i="8"/>
  <c r="BZ89" i="8"/>
  <c r="BH57" i="8"/>
  <c r="BZ70" i="8"/>
  <c r="BH38" i="8"/>
  <c r="BI50" i="8"/>
  <c r="CA82" i="8"/>
  <c r="BI38" i="8"/>
  <c r="CA70" i="8"/>
  <c r="CA75" i="8"/>
  <c r="BI43" i="8"/>
  <c r="BZ85" i="8"/>
  <c r="BH53" i="8"/>
  <c r="CA89" i="8"/>
  <c r="BI57" i="8"/>
  <c r="BI46" i="8"/>
  <c r="CA78" i="8"/>
  <c r="BI54" i="8"/>
  <c r="CA86" i="8"/>
  <c r="BI45" i="8"/>
  <c r="CA77" i="8"/>
  <c r="BZ69" i="8"/>
  <c r="BH37" i="8"/>
  <c r="BI42" i="8"/>
  <c r="CA74" i="8"/>
  <c r="BI48" i="8"/>
  <c r="CA80" i="8"/>
  <c r="CA79" i="8"/>
  <c r="BI47" i="8"/>
  <c r="BH9" i="8"/>
  <c r="BI41" i="8"/>
  <c r="CA73" i="8"/>
  <c r="CA72" i="8"/>
  <c r="BI40" i="8"/>
  <c r="BZ75" i="8"/>
  <c r="BH43" i="8"/>
  <c r="CA83" i="8"/>
  <c r="BI51" i="8"/>
  <c r="BZ86" i="8"/>
  <c r="BH54" i="8"/>
  <c r="BI44" i="8"/>
  <c r="CA76" i="8"/>
  <c r="CA67" i="8"/>
  <c r="BI35" i="8"/>
  <c r="BK7" i="8"/>
  <c r="BH7" i="8"/>
  <c r="D18" i="8" l="1"/>
  <c r="H40" i="8"/>
  <c r="D48" i="8"/>
  <c r="D34" i="8"/>
  <c r="H58" i="8"/>
  <c r="D17" i="8"/>
  <c r="H31" i="8"/>
  <c r="D41" i="8"/>
  <c r="H53" i="8"/>
  <c r="H49" i="8"/>
  <c r="B9" i="8"/>
  <c r="B7" i="8"/>
  <c r="B58" i="8"/>
  <c r="W14" i="8"/>
  <c r="W24" i="8"/>
  <c r="AB24" i="8" s="1"/>
  <c r="D10" i="8"/>
  <c r="D27" i="8"/>
  <c r="W9" i="8"/>
  <c r="W20" i="8"/>
  <c r="H11" i="8"/>
  <c r="H24" i="8"/>
  <c r="W8" i="8"/>
  <c r="W19" i="8"/>
  <c r="W10" i="8"/>
  <c r="W21" i="8"/>
  <c r="W11" i="8"/>
  <c r="W25" i="8"/>
  <c r="B15" i="8"/>
  <c r="A12" i="8"/>
  <c r="W12" i="8"/>
  <c r="W22" i="8"/>
  <c r="W13" i="8"/>
  <c r="W23" i="8"/>
  <c r="I39" i="8"/>
  <c r="I18" i="8"/>
  <c r="P8" i="8"/>
  <c r="I37" i="8"/>
  <c r="I52" i="8"/>
  <c r="I16" i="8"/>
  <c r="BF66" i="8"/>
  <c r="D78" i="8" s="1"/>
  <c r="I14" i="8"/>
  <c r="I54" i="8"/>
  <c r="I35" i="8"/>
  <c r="O8" i="8"/>
  <c r="R8" i="8"/>
  <c r="I17" i="8"/>
  <c r="L8" i="8"/>
  <c r="I8" i="8"/>
  <c r="I33" i="8"/>
  <c r="I48" i="8"/>
  <c r="I12" i="8"/>
  <c r="I20" i="8"/>
  <c r="A1" i="8"/>
  <c r="I61" i="8"/>
  <c r="I29" i="8"/>
  <c r="I44" i="8"/>
  <c r="I7" i="8"/>
  <c r="BF57" i="8"/>
  <c r="D73" i="8" s="1"/>
  <c r="BF67" i="8"/>
  <c r="H78" i="8" s="1"/>
  <c r="I30" i="8"/>
  <c r="I62" i="8"/>
  <c r="I43" i="8"/>
  <c r="Q18" i="8"/>
  <c r="I19" i="8"/>
  <c r="P18" i="8"/>
  <c r="I57" i="8"/>
  <c r="I25" i="8"/>
  <c r="I40" i="8"/>
  <c r="I34" i="8"/>
  <c r="I11" i="8"/>
  <c r="I47" i="8"/>
  <c r="M8" i="8"/>
  <c r="A76" i="8"/>
  <c r="I22" i="8"/>
  <c r="A64" i="8"/>
  <c r="Q8" i="8"/>
  <c r="I53" i="8"/>
  <c r="I13" i="8"/>
  <c r="I36" i="8"/>
  <c r="BF58" i="8"/>
  <c r="H74" i="8" s="1"/>
  <c r="BF64" i="8"/>
  <c r="D82" i="8" s="1"/>
  <c r="BF65" i="8"/>
  <c r="H82" i="8" s="1"/>
  <c r="I38" i="8"/>
  <c r="I15" i="8"/>
  <c r="I51" i="8"/>
  <c r="L18" i="8"/>
  <c r="I21" i="8"/>
  <c r="N18" i="8"/>
  <c r="I49" i="8"/>
  <c r="I9" i="8"/>
  <c r="I32" i="8"/>
  <c r="I42" i="8"/>
  <c r="I23" i="8"/>
  <c r="I55" i="8"/>
  <c r="A80" i="8"/>
  <c r="O18" i="8"/>
  <c r="I45" i="8"/>
  <c r="I60" i="8"/>
  <c r="I28" i="8"/>
  <c r="BF60" i="8"/>
  <c r="H73" i="8" s="1"/>
  <c r="I46" i="8"/>
  <c r="R18" i="8"/>
  <c r="I50" i="8"/>
  <c r="A5" i="8"/>
  <c r="I58" i="8"/>
  <c r="N8" i="8"/>
  <c r="A84" i="8"/>
  <c r="K8" i="8"/>
  <c r="I31" i="8"/>
  <c r="BF59" i="8"/>
  <c r="D74" i="8" s="1"/>
  <c r="M18" i="8"/>
  <c r="K18" i="8"/>
  <c r="A71" i="8"/>
  <c r="I41" i="8"/>
  <c r="I10" i="8"/>
  <c r="I56" i="8"/>
  <c r="I26" i="8"/>
  <c r="I59" i="8"/>
  <c r="I24" i="8"/>
  <c r="AA24" i="8"/>
  <c r="Y24" i="8" l="1"/>
  <c r="Z24" i="8"/>
  <c r="H59" i="8"/>
  <c r="H35" i="8"/>
  <c r="D51" i="8"/>
  <c r="D39" i="8"/>
  <c r="D61" i="8"/>
  <c r="H55" i="8"/>
  <c r="D43" i="8"/>
  <c r="D35" i="8"/>
  <c r="H47" i="8"/>
  <c r="D55" i="8"/>
  <c r="D31" i="8"/>
  <c r="D59" i="8"/>
  <c r="H52" i="8"/>
  <c r="D44" i="8"/>
  <c r="H38" i="8"/>
  <c r="D58" i="8"/>
  <c r="H60" i="8"/>
  <c r="H48" i="8"/>
  <c r="D38" i="8"/>
  <c r="D50" i="8"/>
  <c r="H46" i="8"/>
  <c r="H42" i="8"/>
  <c r="H34" i="8"/>
  <c r="D54" i="8"/>
  <c r="H51" i="8"/>
  <c r="D47" i="8"/>
  <c r="D57" i="8"/>
  <c r="H37" i="8"/>
  <c r="D45" i="8"/>
  <c r="D33" i="8"/>
  <c r="H57" i="8"/>
  <c r="H41" i="8"/>
  <c r="H43" i="8"/>
  <c r="H39" i="8"/>
  <c r="D53" i="8"/>
  <c r="H33" i="8"/>
  <c r="AA25" i="8"/>
  <c r="H32" i="8"/>
  <c r="D40" i="8"/>
  <c r="H54" i="8"/>
  <c r="H50" i="8"/>
  <c r="H44" i="8"/>
  <c r="D56" i="8"/>
  <c r="D32" i="8"/>
  <c r="D62" i="8"/>
  <c r="D49" i="8"/>
  <c r="D37" i="8"/>
  <c r="H61" i="8"/>
  <c r="H45" i="8"/>
  <c r="H56" i="8"/>
  <c r="D60" i="8"/>
  <c r="D36" i="8"/>
  <c r="D46" i="8"/>
  <c r="H36" i="8"/>
  <c r="D52" i="8"/>
  <c r="H62" i="8"/>
  <c r="D42" i="8"/>
  <c r="A9" i="8"/>
  <c r="A58" i="8"/>
  <c r="B12" i="8"/>
  <c r="A7" i="8"/>
  <c r="A15" i="8"/>
  <c r="D25" i="8"/>
  <c r="D11" i="8"/>
  <c r="H7" i="8"/>
  <c r="H14" i="8"/>
  <c r="H28" i="8"/>
  <c r="H18" i="8"/>
  <c r="D26" i="8"/>
  <c r="D16" i="8"/>
  <c r="H10" i="8"/>
  <c r="D9" i="8"/>
  <c r="H25" i="8"/>
  <c r="D21" i="8"/>
  <c r="Y25" i="8"/>
  <c r="AB25" i="8"/>
  <c r="H13" i="8"/>
  <c r="H19" i="8"/>
  <c r="H27" i="8"/>
  <c r="H9" i="8"/>
  <c r="H15" i="8"/>
  <c r="D23" i="8"/>
  <c r="H30" i="8"/>
  <c r="D14" i="8"/>
  <c r="H16" i="8"/>
  <c r="D28" i="8"/>
  <c r="D20" i="8"/>
  <c r="D13" i="8"/>
  <c r="H29" i="8"/>
  <c r="H26" i="8"/>
  <c r="D22" i="8"/>
  <c r="D8" i="8"/>
  <c r="H22" i="8"/>
  <c r="D30" i="8"/>
  <c r="D12" i="8"/>
  <c r="H12" i="8"/>
  <c r="H8" i="8"/>
  <c r="D24" i="8"/>
  <c r="D19" i="8"/>
  <c r="H23" i="8"/>
  <c r="D7" i="8"/>
  <c r="H21" i="8"/>
  <c r="D29" i="8"/>
  <c r="D15" i="8"/>
  <c r="Z25" i="8"/>
  <c r="AB9" i="8"/>
  <c r="Y9" i="8"/>
  <c r="AA9" i="8"/>
  <c r="Z9" i="8"/>
  <c r="Y10" i="8"/>
  <c r="Z10" i="8"/>
  <c r="AA10" i="8"/>
  <c r="AB10" i="8"/>
  <c r="AB19" i="8"/>
  <c r="Y19" i="8"/>
  <c r="Z19" i="8"/>
  <c r="AA19" i="8"/>
  <c r="AA20" i="8"/>
  <c r="Z20" i="8"/>
  <c r="Y20" i="8"/>
  <c r="AB20" i="8"/>
  <c r="Y22" i="8"/>
  <c r="Z22" i="8"/>
  <c r="H20" i="8"/>
  <c r="AB22" i="8"/>
  <c r="AA22" i="8"/>
  <c r="Z18" i="8"/>
  <c r="AA18" i="8"/>
  <c r="Y18" i="8"/>
  <c r="AB18" i="8"/>
  <c r="Z15" i="8"/>
  <c r="AB15" i="8"/>
  <c r="AA15" i="8"/>
  <c r="Y15" i="8"/>
  <c r="AB23" i="8"/>
  <c r="AA23" i="8"/>
  <c r="Z23" i="8"/>
  <c r="Y23" i="8"/>
  <c r="AA13" i="8"/>
  <c r="Y13" i="8"/>
  <c r="Z13" i="8"/>
  <c r="AB13" i="8"/>
  <c r="AB8" i="8"/>
  <c r="AA8" i="8"/>
  <c r="Y8" i="8"/>
  <c r="Z8" i="8"/>
  <c r="Y14" i="8"/>
  <c r="Z14" i="8"/>
  <c r="AA14" i="8"/>
  <c r="AB14" i="8"/>
  <c r="A38" i="8"/>
  <c r="B38" i="8"/>
  <c r="B30" i="8"/>
  <c r="A30" i="8"/>
  <c r="A78" i="8"/>
  <c r="B78" i="8"/>
  <c r="B62" i="8"/>
  <c r="A62" i="8"/>
  <c r="B16" i="8"/>
  <c r="A16" i="8"/>
  <c r="B52" i="8"/>
  <c r="A52" i="8"/>
  <c r="B31" i="8"/>
  <c r="A31" i="8"/>
  <c r="X24" i="8"/>
  <c r="AE24" i="8"/>
  <c r="AA21" i="8"/>
  <c r="Z21" i="8"/>
  <c r="Y21" i="8"/>
  <c r="AB21" i="8"/>
  <c r="Z12" i="8"/>
  <c r="Y12" i="8"/>
  <c r="H17" i="8"/>
  <c r="AA12" i="8"/>
  <c r="AB12" i="8"/>
  <c r="A17" i="8"/>
  <c r="B17" i="8"/>
  <c r="A56" i="8"/>
  <c r="B56" i="8"/>
  <c r="B43" i="8"/>
  <c r="A43" i="8"/>
  <c r="A42" i="8"/>
  <c r="B42" i="8"/>
  <c r="B61" i="8"/>
  <c r="A61" i="8"/>
  <c r="A40" i="8"/>
  <c r="B40" i="8"/>
  <c r="A18" i="8"/>
  <c r="B18" i="8"/>
  <c r="A44" i="8"/>
  <c r="B44" i="8"/>
  <c r="B53" i="8"/>
  <c r="A53" i="8"/>
  <c r="A36" i="8"/>
  <c r="B36" i="8"/>
  <c r="A41" i="8"/>
  <c r="B41" i="8"/>
  <c r="B49" i="8"/>
  <c r="A49" i="8"/>
  <c r="A24" i="8"/>
  <c r="B24" i="8"/>
  <c r="A50" i="8"/>
  <c r="B50" i="8"/>
  <c r="A45" i="8"/>
  <c r="B45" i="8"/>
  <c r="A25" i="8"/>
  <c r="B25" i="8"/>
  <c r="B20" i="8"/>
  <c r="A20" i="8"/>
  <c r="B19" i="8"/>
  <c r="A19" i="8"/>
  <c r="A13" i="8"/>
  <c r="B13" i="8"/>
  <c r="A47" i="8"/>
  <c r="B47" i="8"/>
  <c r="A21" i="8"/>
  <c r="B21" i="8"/>
  <c r="A26" i="8"/>
  <c r="B26" i="8"/>
  <c r="A55" i="8"/>
  <c r="B55" i="8"/>
  <c r="A54" i="8"/>
  <c r="B54" i="8"/>
  <c r="B82" i="8"/>
  <c r="A82" i="8"/>
  <c r="B48" i="8"/>
  <c r="A48" i="8"/>
  <c r="A22" i="8"/>
  <c r="B22" i="8"/>
  <c r="AA11" i="8"/>
  <c r="AB11" i="8"/>
  <c r="Z11" i="8"/>
  <c r="Y11" i="8"/>
  <c r="B11" i="8"/>
  <c r="A11" i="8"/>
  <c r="B35" i="8"/>
  <c r="A35" i="8"/>
  <c r="B34" i="8"/>
  <c r="A34" i="8"/>
  <c r="B32" i="8"/>
  <c r="A32" i="8"/>
  <c r="B57" i="8"/>
  <c r="A57" i="8"/>
  <c r="A28" i="8"/>
  <c r="B28" i="8"/>
  <c r="A27" i="8"/>
  <c r="B27" i="8"/>
  <c r="B59" i="8"/>
  <c r="A59" i="8"/>
  <c r="A29" i="8"/>
  <c r="B29" i="8"/>
  <c r="A23" i="8"/>
  <c r="B23" i="8"/>
  <c r="B33" i="8"/>
  <c r="A33" i="8"/>
  <c r="A51" i="8"/>
  <c r="B51" i="8"/>
  <c r="A46" i="8"/>
  <c r="B46" i="8"/>
  <c r="A37" i="8"/>
  <c r="B37" i="8"/>
  <c r="A14" i="8"/>
  <c r="B14" i="8"/>
  <c r="A10" i="8"/>
  <c r="B10" i="8"/>
  <c r="B8" i="8"/>
  <c r="A8" i="8"/>
  <c r="A60" i="8"/>
  <c r="B60" i="8"/>
  <c r="B39" i="8"/>
  <c r="A39" i="8"/>
  <c r="AE25" i="8" l="1"/>
  <c r="X25" i="8"/>
  <c r="AE19" i="8"/>
  <c r="X19" i="8"/>
  <c r="X13" i="8"/>
  <c r="AE13" i="8"/>
  <c r="X20" i="8"/>
  <c r="AE20" i="8"/>
  <c r="AE12" i="8"/>
  <c r="X12" i="8"/>
  <c r="X23" i="8"/>
  <c r="AE23" i="8"/>
  <c r="X8" i="8"/>
  <c r="AE8" i="8"/>
  <c r="AE21" i="8"/>
  <c r="X21" i="8"/>
  <c r="AE9" i="8"/>
  <c r="X9" i="8"/>
  <c r="X22" i="8"/>
  <c r="AE22" i="8"/>
  <c r="X14" i="8"/>
  <c r="AE14" i="8"/>
  <c r="AE11" i="8"/>
  <c r="X11" i="8"/>
  <c r="X15" i="8"/>
  <c r="AE15" i="8"/>
  <c r="X18" i="8"/>
  <c r="AE18" i="8"/>
  <c r="AE10" i="8"/>
  <c r="X10" i="8"/>
  <c r="AH24" i="8" l="1"/>
  <c r="AH11" i="8"/>
  <c r="AH20" i="8"/>
  <c r="AH13" i="8"/>
  <c r="AH19" i="8"/>
  <c r="AH8" i="8"/>
  <c r="AH25" i="8"/>
  <c r="AH23" i="8"/>
  <c r="AH10" i="8"/>
  <c r="AH15" i="8"/>
  <c r="AH22" i="8"/>
  <c r="AH9" i="8"/>
  <c r="BF11" i="8"/>
  <c r="H67" i="8" s="1"/>
  <c r="BF10" i="8"/>
  <c r="H69" i="8" s="1"/>
  <c r="BF8" i="8"/>
  <c r="D66" i="8" s="1"/>
  <c r="BF9" i="8"/>
  <c r="D68" i="8" s="1"/>
  <c r="AH18" i="8"/>
  <c r="BF21" i="8"/>
  <c r="H66" i="8" s="1"/>
  <c r="BF19" i="8"/>
  <c r="D69" i="8" s="1"/>
  <c r="BF18" i="8"/>
  <c r="D67" i="8" s="1"/>
  <c r="BF20" i="8"/>
  <c r="H68" i="8" s="1"/>
  <c r="AH14" i="8"/>
  <c r="AH21" i="8"/>
  <c r="AH12" i="8"/>
  <c r="AH26" i="8" l="1"/>
  <c r="AI24" i="8" s="1"/>
  <c r="AH16" i="8"/>
  <c r="AI15" i="8" s="1"/>
  <c r="AI22" i="8" l="1"/>
  <c r="AJ22" i="8" s="1"/>
  <c r="AI21" i="8"/>
  <c r="AJ21" i="8" s="1"/>
  <c r="AJ15" i="8"/>
  <c r="AI14" i="8"/>
  <c r="AI20" i="8"/>
  <c r="AI12" i="8"/>
  <c r="AI19" i="8"/>
  <c r="BM22" i="8" s="1"/>
  <c r="AI11" i="8"/>
  <c r="AI8" i="8"/>
  <c r="AI9" i="8"/>
  <c r="BM37" i="8" s="1"/>
  <c r="AI25" i="8"/>
  <c r="AI18" i="8"/>
  <c r="AI10" i="8"/>
  <c r="AI13" i="8"/>
  <c r="AJ24" i="8"/>
  <c r="AI23" i="8"/>
  <c r="BM46" i="8" l="1"/>
  <c r="BQ46" i="8" s="1"/>
  <c r="BM41" i="8"/>
  <c r="BQ41" i="8" s="1"/>
  <c r="BM13" i="8"/>
  <c r="BO13" i="8" s="1"/>
  <c r="BM29" i="8"/>
  <c r="BP29" i="8" s="1"/>
  <c r="BM53" i="8"/>
  <c r="BP53" i="8" s="1"/>
  <c r="BM49" i="8"/>
  <c r="BN49" i="8" s="1"/>
  <c r="BM39" i="8"/>
  <c r="BQ39" i="8" s="1"/>
  <c r="BM35" i="8"/>
  <c r="BP35" i="8" s="1"/>
  <c r="AJ10" i="8"/>
  <c r="BM48" i="8"/>
  <c r="BM34" i="8"/>
  <c r="BM24" i="8"/>
  <c r="BM10" i="8"/>
  <c r="AJ23" i="8"/>
  <c r="BM27" i="8"/>
  <c r="BM57" i="8"/>
  <c r="BM18" i="8"/>
  <c r="AJ18" i="8"/>
  <c r="BM7" i="8"/>
  <c r="BM23" i="8"/>
  <c r="BM47" i="8"/>
  <c r="BM11" i="8"/>
  <c r="AJ13" i="8"/>
  <c r="BM19" i="8"/>
  <c r="BM58" i="8"/>
  <c r="BM30" i="8"/>
  <c r="AJ12" i="8"/>
  <c r="BM28" i="8"/>
  <c r="BM56" i="8"/>
  <c r="BM12" i="8"/>
  <c r="BN22" i="8"/>
  <c r="BO22" i="8"/>
  <c r="BQ22" i="8"/>
  <c r="BP22" i="8"/>
  <c r="AJ25" i="8"/>
  <c r="BM55" i="8"/>
  <c r="BM43" i="8"/>
  <c r="BM59" i="8"/>
  <c r="AJ14" i="8"/>
  <c r="BM38" i="8"/>
  <c r="BM14" i="8"/>
  <c r="BM21" i="8"/>
  <c r="BM42" i="8"/>
  <c r="AJ9" i="8"/>
  <c r="BM36" i="8"/>
  <c r="BM50" i="8"/>
  <c r="BM16" i="8"/>
  <c r="BM40" i="8"/>
  <c r="AJ8" i="8"/>
  <c r="BM17" i="8"/>
  <c r="BM8" i="8"/>
  <c r="BM44" i="8"/>
  <c r="AJ20" i="8"/>
  <c r="BM20" i="8"/>
  <c r="BM45" i="8"/>
  <c r="BM9" i="8"/>
  <c r="BM54" i="8"/>
  <c r="AJ11" i="8"/>
  <c r="BM32" i="8"/>
  <c r="BM52" i="8"/>
  <c r="BM62" i="8"/>
  <c r="BM26" i="8"/>
  <c r="BM60" i="8"/>
  <c r="BO37" i="8"/>
  <c r="BQ37" i="8"/>
  <c r="BN37" i="8"/>
  <c r="BP37" i="8"/>
  <c r="AJ19" i="8"/>
  <c r="BM33" i="8"/>
  <c r="BM25" i="8"/>
  <c r="BM61" i="8"/>
  <c r="BM51" i="8"/>
  <c r="BM15" i="8"/>
  <c r="BP41" i="8" l="1"/>
  <c r="BP46" i="8"/>
  <c r="BO46" i="8"/>
  <c r="BN46" i="8"/>
  <c r="BN41" i="8"/>
  <c r="BO41" i="8"/>
  <c r="BQ13" i="8"/>
  <c r="BP13" i="8"/>
  <c r="BN13" i="8"/>
  <c r="BP49" i="8"/>
  <c r="BQ49" i="8"/>
  <c r="BQ29" i="8"/>
  <c r="BN35" i="8"/>
  <c r="BO49" i="8"/>
  <c r="BO35" i="8"/>
  <c r="AJ26" i="8"/>
  <c r="AK20" i="8" s="1"/>
  <c r="BN29" i="8"/>
  <c r="BO53" i="8"/>
  <c r="BO29" i="8"/>
  <c r="BQ53" i="8"/>
  <c r="BN53" i="8"/>
  <c r="BQ35" i="8"/>
  <c r="BO39" i="8"/>
  <c r="BN39" i="8"/>
  <c r="BP39" i="8"/>
  <c r="BP60" i="8"/>
  <c r="BQ60" i="8"/>
  <c r="BO60" i="8"/>
  <c r="BN60" i="8"/>
  <c r="BQ58" i="8"/>
  <c r="BP58" i="8"/>
  <c r="BO58" i="8"/>
  <c r="BN58" i="8"/>
  <c r="BO52" i="8"/>
  <c r="BN52" i="8"/>
  <c r="BQ52" i="8"/>
  <c r="BP52" i="8"/>
  <c r="BO9" i="8"/>
  <c r="BQ9" i="8"/>
  <c r="BN9" i="8"/>
  <c r="BP9" i="8"/>
  <c r="BQ50" i="8"/>
  <c r="BO50" i="8"/>
  <c r="BN50" i="8"/>
  <c r="BP50" i="8"/>
  <c r="BQ30" i="8"/>
  <c r="BN30" i="8"/>
  <c r="BO30" i="8"/>
  <c r="BP30" i="8"/>
  <c r="BO23" i="8"/>
  <c r="BN23" i="8"/>
  <c r="BP23" i="8"/>
  <c r="BQ23" i="8"/>
  <c r="BN24" i="8"/>
  <c r="BO24" i="8"/>
  <c r="BQ24" i="8"/>
  <c r="BP24" i="8"/>
  <c r="BN36" i="8"/>
  <c r="BQ36" i="8"/>
  <c r="BP36" i="8"/>
  <c r="BO36" i="8"/>
  <c r="BP34" i="8"/>
  <c r="BN34" i="8"/>
  <c r="BO34" i="8"/>
  <c r="BQ34" i="8"/>
  <c r="BQ20" i="8"/>
  <c r="BO20" i="8"/>
  <c r="BN20" i="8"/>
  <c r="BP20" i="8"/>
  <c r="BN19" i="8"/>
  <c r="BO19" i="8"/>
  <c r="BP19" i="8"/>
  <c r="BQ19" i="8"/>
  <c r="BQ48" i="8"/>
  <c r="BO48" i="8"/>
  <c r="BP48" i="8"/>
  <c r="BN48" i="8"/>
  <c r="BO51" i="8"/>
  <c r="BN51" i="8"/>
  <c r="BQ51" i="8"/>
  <c r="BP51" i="8"/>
  <c r="BP42" i="8"/>
  <c r="BQ42" i="8"/>
  <c r="BO42" i="8"/>
  <c r="BN42" i="8"/>
  <c r="BP18" i="8"/>
  <c r="BN18" i="8"/>
  <c r="BO18" i="8"/>
  <c r="BQ18" i="8"/>
  <c r="BO57" i="8"/>
  <c r="BQ57" i="8"/>
  <c r="BP57" i="8"/>
  <c r="BN57" i="8"/>
  <c r="BN32" i="8"/>
  <c r="BO32" i="8"/>
  <c r="BQ32" i="8"/>
  <c r="BP32" i="8"/>
  <c r="BO15" i="8"/>
  <c r="BP15" i="8"/>
  <c r="BN15" i="8"/>
  <c r="BQ15" i="8"/>
  <c r="BN12" i="8"/>
  <c r="BQ12" i="8"/>
  <c r="BO12" i="8"/>
  <c r="BP12" i="8"/>
  <c r="BP8" i="8"/>
  <c r="BQ8" i="8"/>
  <c r="BN8" i="8"/>
  <c r="BO8" i="8"/>
  <c r="BP14" i="8"/>
  <c r="BQ14" i="8"/>
  <c r="BN14" i="8"/>
  <c r="BO14" i="8"/>
  <c r="BQ43" i="8"/>
  <c r="BP43" i="8"/>
  <c r="BO43" i="8"/>
  <c r="BN43" i="8"/>
  <c r="BQ56" i="8"/>
  <c r="BN56" i="8"/>
  <c r="BO56" i="8"/>
  <c r="BP56" i="8"/>
  <c r="BN11" i="8"/>
  <c r="BQ11" i="8"/>
  <c r="BP11" i="8"/>
  <c r="BO11" i="8"/>
  <c r="BQ27" i="8"/>
  <c r="BN27" i="8"/>
  <c r="BP27" i="8"/>
  <c r="BO27" i="8"/>
  <c r="BQ61" i="8"/>
  <c r="BO61" i="8"/>
  <c r="BN61" i="8"/>
  <c r="BP61" i="8"/>
  <c r="BQ44" i="8"/>
  <c r="BO44" i="8"/>
  <c r="BP44" i="8"/>
  <c r="BN44" i="8"/>
  <c r="BN59" i="8"/>
  <c r="BP59" i="8"/>
  <c r="BO59" i="8"/>
  <c r="BQ59" i="8"/>
  <c r="BP25" i="8"/>
  <c r="BO25" i="8"/>
  <c r="BN25" i="8"/>
  <c r="BQ25" i="8"/>
  <c r="BN26" i="8"/>
  <c r="BO26" i="8"/>
  <c r="BQ26" i="8"/>
  <c r="BP26" i="8"/>
  <c r="BP17" i="8"/>
  <c r="BN17" i="8"/>
  <c r="BQ17" i="8"/>
  <c r="BO17" i="8"/>
  <c r="BP40" i="8"/>
  <c r="BO40" i="8"/>
  <c r="BN40" i="8"/>
  <c r="BQ40" i="8"/>
  <c r="BO38" i="8"/>
  <c r="BP38" i="8"/>
  <c r="BQ38" i="8"/>
  <c r="BN38" i="8"/>
  <c r="BP55" i="8"/>
  <c r="BN55" i="8"/>
  <c r="BQ55" i="8"/>
  <c r="BO55" i="8"/>
  <c r="BP28" i="8"/>
  <c r="BQ28" i="8"/>
  <c r="BN28" i="8"/>
  <c r="BO28" i="8"/>
  <c r="BQ45" i="8"/>
  <c r="BN45" i="8"/>
  <c r="BO45" i="8"/>
  <c r="BP45" i="8"/>
  <c r="BN7" i="8"/>
  <c r="BO7" i="8"/>
  <c r="BQ7" i="8"/>
  <c r="BP7" i="8"/>
  <c r="BP21" i="8"/>
  <c r="BQ21" i="8"/>
  <c r="BN21" i="8"/>
  <c r="BO21" i="8"/>
  <c r="BP33" i="8"/>
  <c r="BQ33" i="8"/>
  <c r="BN33" i="8"/>
  <c r="BO33" i="8"/>
  <c r="BN62" i="8"/>
  <c r="BQ62" i="8"/>
  <c r="BP62" i="8"/>
  <c r="BO62" i="8"/>
  <c r="BQ54" i="8"/>
  <c r="BP54" i="8"/>
  <c r="BN54" i="8"/>
  <c r="BO54" i="8"/>
  <c r="BN16" i="8"/>
  <c r="BP16" i="8"/>
  <c r="BQ16" i="8"/>
  <c r="BO16" i="8"/>
  <c r="AJ16" i="8"/>
  <c r="AK15" i="8" s="1"/>
  <c r="BQ47" i="8"/>
  <c r="BN47" i="8"/>
  <c r="BO47" i="8"/>
  <c r="BP47" i="8"/>
  <c r="BN10" i="8"/>
  <c r="BO10" i="8"/>
  <c r="BP10" i="8"/>
  <c r="BQ10" i="8"/>
  <c r="AK19" i="8" l="1"/>
  <c r="AK24" i="8"/>
  <c r="AK23" i="8"/>
  <c r="AK25" i="8"/>
  <c r="AK21" i="8"/>
  <c r="AK18" i="8"/>
  <c r="AK22" i="8"/>
  <c r="AK13" i="8"/>
  <c r="BS27" i="8" s="1"/>
  <c r="AK11" i="8"/>
  <c r="AK8" i="8"/>
  <c r="AK12" i="8"/>
  <c r="AK9" i="8"/>
  <c r="AK14" i="8"/>
  <c r="AK10" i="8"/>
  <c r="BS60" i="8" s="1"/>
  <c r="BS61" i="8" l="1"/>
  <c r="BU61" i="8" s="1"/>
  <c r="BS54" i="8"/>
  <c r="BV54" i="8" s="1"/>
  <c r="BS55" i="8"/>
  <c r="BW55" i="8" s="1"/>
  <c r="BS46" i="8"/>
  <c r="BV46" i="8" s="1"/>
  <c r="BS45" i="8"/>
  <c r="BV45" i="8" s="1"/>
  <c r="BS19" i="8"/>
  <c r="BT19" i="8" s="1"/>
  <c r="BS9" i="8"/>
  <c r="BW9" i="8" s="1"/>
  <c r="BS18" i="8"/>
  <c r="BU18" i="8" s="1"/>
  <c r="BS43" i="8"/>
  <c r="BV43" i="8" s="1"/>
  <c r="BS37" i="8"/>
  <c r="BU37" i="8" s="1"/>
  <c r="BS51" i="8"/>
  <c r="BW51" i="8" s="1"/>
  <c r="BS13" i="8"/>
  <c r="BV13" i="8" s="1"/>
  <c r="BS35" i="8"/>
  <c r="BV35" i="8" s="1"/>
  <c r="BS41" i="8"/>
  <c r="BV41" i="8" s="1"/>
  <c r="BS49" i="8"/>
  <c r="BV49" i="8" s="1"/>
  <c r="BS25" i="8"/>
  <c r="BV25" i="8" s="1"/>
  <c r="BS57" i="8"/>
  <c r="BW57" i="8" s="1"/>
  <c r="BS53" i="8"/>
  <c r="BV53" i="8" s="1"/>
  <c r="BS29" i="8"/>
  <c r="BV29" i="8" s="1"/>
  <c r="BS8" i="8"/>
  <c r="BV8" i="8" s="1"/>
  <c r="BS33" i="8"/>
  <c r="BU33" i="8" s="1"/>
  <c r="BS39" i="8"/>
  <c r="BW39" i="8" s="1"/>
  <c r="BS20" i="8"/>
  <c r="BV20" i="8" s="1"/>
  <c r="BS59" i="8"/>
  <c r="BU59" i="8" s="1"/>
  <c r="BS44" i="8"/>
  <c r="BU44" i="8" s="1"/>
  <c r="BS17" i="8"/>
  <c r="BU17" i="8" s="1"/>
  <c r="BS15" i="8"/>
  <c r="BV15" i="8" s="1"/>
  <c r="BS22" i="8"/>
  <c r="BS23" i="8"/>
  <c r="BV23" i="8" s="1"/>
  <c r="BS12" i="8"/>
  <c r="BU12" i="8" s="1"/>
  <c r="BS28" i="8"/>
  <c r="BV28" i="8" s="1"/>
  <c r="BS56" i="8"/>
  <c r="BV56" i="8" s="1"/>
  <c r="BS58" i="8"/>
  <c r="BU58" i="8" s="1"/>
  <c r="BS47" i="8"/>
  <c r="BS7" i="8"/>
  <c r="BS11" i="8"/>
  <c r="BS40" i="8"/>
  <c r="BV40" i="8" s="1"/>
  <c r="BS36" i="8"/>
  <c r="BW36" i="8" s="1"/>
  <c r="BS32" i="8"/>
  <c r="BW32" i="8" s="1"/>
  <c r="BS62" i="8"/>
  <c r="BU62" i="8" s="1"/>
  <c r="BS26" i="8"/>
  <c r="BT26" i="8" s="1"/>
  <c r="BS52" i="8"/>
  <c r="BW52" i="8" s="1"/>
  <c r="BS50" i="8"/>
  <c r="BW50" i="8" s="1"/>
  <c r="BS16" i="8"/>
  <c r="BU16" i="8" s="1"/>
  <c r="BW60" i="8"/>
  <c r="BV60" i="8"/>
  <c r="BU60" i="8"/>
  <c r="BT60" i="8"/>
  <c r="BS14" i="8"/>
  <c r="BS21" i="8"/>
  <c r="BS38" i="8"/>
  <c r="BS42" i="8"/>
  <c r="BT27" i="8"/>
  <c r="BV27" i="8"/>
  <c r="BU27" i="8"/>
  <c r="BW27" i="8"/>
  <c r="BS10" i="8"/>
  <c r="BS24" i="8"/>
  <c r="BS48" i="8"/>
  <c r="BS34" i="8"/>
  <c r="BS30" i="8"/>
  <c r="BV55" i="8" l="1"/>
  <c r="BW61" i="8"/>
  <c r="BT55" i="8"/>
  <c r="BV61" i="8"/>
  <c r="BT54" i="8"/>
  <c r="BU19" i="8"/>
  <c r="BU55" i="8"/>
  <c r="BU46" i="8"/>
  <c r="BW54" i="8"/>
  <c r="BT46" i="8"/>
  <c r="BW46" i="8"/>
  <c r="BU54" i="8"/>
  <c r="BT61" i="8"/>
  <c r="BW45" i="8"/>
  <c r="BT45" i="8"/>
  <c r="BU45" i="8"/>
  <c r="BW19" i="8"/>
  <c r="BV19" i="8"/>
  <c r="BT9" i="8"/>
  <c r="BU9" i="8"/>
  <c r="BV9" i="8"/>
  <c r="BT18" i="8"/>
  <c r="BV18" i="8"/>
  <c r="BW18" i="8"/>
  <c r="BU43" i="8"/>
  <c r="BW43" i="8"/>
  <c r="BT43" i="8"/>
  <c r="BT37" i="8"/>
  <c r="BV37" i="8"/>
  <c r="BW37" i="8"/>
  <c r="BU51" i="8"/>
  <c r="BV51" i="8"/>
  <c r="BV57" i="8"/>
  <c r="BT44" i="8"/>
  <c r="BT51" i="8"/>
  <c r="BT49" i="8"/>
  <c r="BU57" i="8"/>
  <c r="BT33" i="8"/>
  <c r="BT57" i="8"/>
  <c r="BW33" i="8"/>
  <c r="BT35" i="8"/>
  <c r="BW35" i="8"/>
  <c r="BV33" i="8"/>
  <c r="BU35" i="8"/>
  <c r="BW41" i="8"/>
  <c r="BT8" i="8"/>
  <c r="BU25" i="8"/>
  <c r="BT17" i="8"/>
  <c r="BT29" i="8"/>
  <c r="BT15" i="8"/>
  <c r="BW15" i="8"/>
  <c r="BU56" i="8"/>
  <c r="BW12" i="8"/>
  <c r="BW8" i="8"/>
  <c r="BW25" i="8"/>
  <c r="BU41" i="8"/>
  <c r="BT41" i="8"/>
  <c r="BW56" i="8"/>
  <c r="BV17" i="8"/>
  <c r="BT13" i="8"/>
  <c r="BW13" i="8"/>
  <c r="BU13" i="8"/>
  <c r="BU15" i="8"/>
  <c r="BU8" i="8"/>
  <c r="BW49" i="8"/>
  <c r="BW53" i="8"/>
  <c r="BU49" i="8"/>
  <c r="BT53" i="8"/>
  <c r="BW29" i="8"/>
  <c r="BU53" i="8"/>
  <c r="BT25" i="8"/>
  <c r="BW59" i="8"/>
  <c r="BV59" i="8"/>
  <c r="BW17" i="8"/>
  <c r="BU29" i="8"/>
  <c r="BU20" i="8"/>
  <c r="BV39" i="8"/>
  <c r="BT39" i="8"/>
  <c r="BU39" i="8"/>
  <c r="BT59" i="8"/>
  <c r="BT20" i="8"/>
  <c r="BW20" i="8"/>
  <c r="BU28" i="8"/>
  <c r="BW28" i="8"/>
  <c r="BW23" i="8"/>
  <c r="BV44" i="8"/>
  <c r="BT23" i="8"/>
  <c r="BV62" i="8"/>
  <c r="BW44" i="8"/>
  <c r="BU23" i="8"/>
  <c r="BT56" i="8"/>
  <c r="BT22" i="8"/>
  <c r="BV22" i="8"/>
  <c r="BU22" i="8"/>
  <c r="BW22" i="8"/>
  <c r="BV12" i="8"/>
  <c r="BT12" i="8"/>
  <c r="BV36" i="8"/>
  <c r="BT36" i="8"/>
  <c r="BW40" i="8"/>
  <c r="BU40" i="8"/>
  <c r="BW62" i="8"/>
  <c r="BT28" i="8"/>
  <c r="BT58" i="8"/>
  <c r="BW58" i="8"/>
  <c r="BT62" i="8"/>
  <c r="BV58" i="8"/>
  <c r="BV16" i="8"/>
  <c r="BU32" i="8"/>
  <c r="BT32" i="8"/>
  <c r="BW26" i="8"/>
  <c r="BV32" i="8"/>
  <c r="BT7" i="8"/>
  <c r="BV7" i="8"/>
  <c r="BW7" i="8"/>
  <c r="BU7" i="8"/>
  <c r="BV47" i="8"/>
  <c r="BW47" i="8"/>
  <c r="BT47" i="8"/>
  <c r="BU47" i="8"/>
  <c r="BW16" i="8"/>
  <c r="BT16" i="8"/>
  <c r="BU36" i="8"/>
  <c r="BT40" i="8"/>
  <c r="BV26" i="8"/>
  <c r="BT11" i="8"/>
  <c r="BW11" i="8"/>
  <c r="BV11" i="8"/>
  <c r="BU11" i="8"/>
  <c r="BT52" i="8"/>
  <c r="BV52" i="8"/>
  <c r="BU52" i="8"/>
  <c r="BU50" i="8"/>
  <c r="BT50" i="8"/>
  <c r="BV50" i="8"/>
  <c r="BU26" i="8"/>
  <c r="BU30" i="8"/>
  <c r="BT30" i="8"/>
  <c r="BW30" i="8"/>
  <c r="BV30" i="8"/>
  <c r="BU48" i="8"/>
  <c r="BT48" i="8"/>
  <c r="BW48" i="8"/>
  <c r="BV48" i="8"/>
  <c r="BT10" i="8"/>
  <c r="BW10" i="8"/>
  <c r="BU10" i="8"/>
  <c r="BV10" i="8"/>
  <c r="BT38" i="8"/>
  <c r="BU38" i="8"/>
  <c r="BV38" i="8"/>
  <c r="BW38" i="8"/>
  <c r="BU21" i="8"/>
  <c r="BW21" i="8"/>
  <c r="BT21" i="8"/>
  <c r="BV21" i="8"/>
  <c r="BW34" i="8"/>
  <c r="BU34" i="8"/>
  <c r="BV34" i="8"/>
  <c r="BT34" i="8"/>
  <c r="BV24" i="8"/>
  <c r="BW24" i="8"/>
  <c r="BT24" i="8"/>
  <c r="BU24" i="8"/>
  <c r="BW42" i="8"/>
  <c r="BV42" i="8"/>
  <c r="BT42" i="8"/>
  <c r="BU42" i="8"/>
  <c r="BU14" i="8"/>
  <c r="BV14" i="8"/>
  <c r="BW14" i="8"/>
  <c r="BT14" i="8"/>
  <c r="AS22" i="8"/>
  <c r="AD22" i="8"/>
  <c r="AD14" i="8"/>
  <c r="AD11" i="8"/>
  <c r="AC23" i="8"/>
  <c r="AR25" i="8"/>
  <c r="AS18" i="8"/>
  <c r="AR19" i="8"/>
  <c r="AR24" i="8"/>
  <c r="AC11" i="8"/>
  <c r="AC22" i="8"/>
  <c r="AD10" i="8"/>
  <c r="AS9" i="8"/>
  <c r="AR12" i="8"/>
  <c r="AR9" i="8"/>
  <c r="AD19" i="8"/>
  <c r="AR8" i="8"/>
  <c r="AD9" i="8"/>
  <c r="AC14" i="8"/>
  <c r="AD18" i="8"/>
  <c r="AC8" i="8"/>
  <c r="AS14" i="8"/>
  <c r="AS21" i="8"/>
  <c r="AS8" i="8"/>
  <c r="AC13" i="8"/>
  <c r="AS25" i="8"/>
  <c r="AD20" i="8"/>
  <c r="AD13" i="8"/>
  <c r="AC15" i="8"/>
  <c r="AR18" i="8"/>
  <c r="AS20" i="8"/>
  <c r="AR22" i="8"/>
  <c r="AR21" i="8"/>
  <c r="AC20" i="8"/>
  <c r="AD24" i="8"/>
  <c r="AD12" i="8"/>
  <c r="AD21" i="8"/>
  <c r="AC21" i="8"/>
  <c r="AC25" i="8"/>
  <c r="AS24" i="8"/>
  <c r="AS13" i="8"/>
  <c r="AR13" i="8"/>
  <c r="AS12" i="8"/>
  <c r="AD25" i="8"/>
  <c r="AC18" i="8"/>
  <c r="AD23" i="8"/>
  <c r="AR11" i="8"/>
  <c r="AC12" i="8"/>
  <c r="AC9" i="8"/>
  <c r="AC10" i="8"/>
  <c r="AS11" i="8"/>
  <c r="AC24" i="8"/>
  <c r="AD8" i="8"/>
  <c r="AD15" i="8"/>
  <c r="AC19" i="8"/>
  <c r="AR14" i="8"/>
  <c r="AR20" i="8"/>
  <c r="AS19" i="8"/>
  <c r="BS31" i="8"/>
  <c r="BU31" i="8" s="1"/>
  <c r="BM31" i="8"/>
  <c r="BA25" i="8" l="1"/>
  <c r="BA13" i="8"/>
  <c r="BB25" i="8"/>
  <c r="BA20" i="8"/>
  <c r="BB18" i="8"/>
  <c r="BB22" i="8"/>
  <c r="BA11" i="8"/>
  <c r="BB12" i="8"/>
  <c r="BA22" i="8"/>
  <c r="BB24" i="8"/>
  <c r="BB9" i="8"/>
  <c r="BA21" i="8"/>
  <c r="BB13" i="8"/>
  <c r="BA12" i="8"/>
  <c r="BB21" i="8"/>
  <c r="BB19" i="8"/>
  <c r="BA18" i="8"/>
  <c r="BA8" i="8"/>
  <c r="BB20" i="8"/>
  <c r="BA24" i="8"/>
  <c r="BT31" i="8"/>
  <c r="AY10" i="8" s="1"/>
  <c r="BA14" i="8"/>
  <c r="BB8" i="8"/>
  <c r="BA19" i="8"/>
  <c r="BB14" i="8"/>
  <c r="BA9" i="8"/>
  <c r="BB23" i="8"/>
  <c r="BB11" i="8"/>
  <c r="BP31" i="8"/>
  <c r="AS15" i="8" s="1"/>
  <c r="BQ31" i="8"/>
  <c r="AR15" i="8" s="1"/>
  <c r="BO31" i="8"/>
  <c r="BN31" i="8"/>
  <c r="BW31" i="8"/>
  <c r="BA15" i="8" s="1"/>
  <c r="BV31" i="8"/>
  <c r="AY12" i="8" l="1"/>
  <c r="AX8" i="8"/>
  <c r="AY15" i="8"/>
  <c r="AX21" i="8"/>
  <c r="AX24" i="8"/>
  <c r="AZ18" i="8"/>
  <c r="AZ8" i="8"/>
  <c r="AX10" i="8"/>
  <c r="AX25" i="8"/>
  <c r="AY18" i="8"/>
  <c r="AZ20" i="8"/>
  <c r="AZ23" i="8"/>
  <c r="AX22" i="8"/>
  <c r="AY19" i="8"/>
  <c r="AX14" i="8"/>
  <c r="AZ13" i="8"/>
  <c r="AW15" i="8"/>
  <c r="AZ15" i="8"/>
  <c r="AX23" i="8"/>
  <c r="AZ25" i="8"/>
  <c r="AY8" i="8"/>
  <c r="AX18" i="8"/>
  <c r="AY24" i="8"/>
  <c r="AW25" i="8"/>
  <c r="AY23" i="8"/>
  <c r="AZ21" i="8"/>
  <c r="AY14" i="8"/>
  <c r="AZ14" i="8"/>
  <c r="AZ9" i="8"/>
  <c r="AZ12" i="8"/>
  <c r="AX15" i="8"/>
  <c r="AW18" i="8"/>
  <c r="AZ22" i="8"/>
  <c r="AX13" i="8"/>
  <c r="AW20" i="8"/>
  <c r="AW8" i="8"/>
  <c r="AX11" i="8"/>
  <c r="AZ24" i="8"/>
  <c r="AY13" i="8"/>
  <c r="AW23" i="8"/>
  <c r="AY9" i="8"/>
  <c r="AX9" i="8"/>
  <c r="AW24" i="8"/>
  <c r="AW11" i="8"/>
  <c r="AY22" i="8"/>
  <c r="AZ10" i="8"/>
  <c r="AW19" i="8"/>
  <c r="AX12" i="8"/>
  <c r="AY25" i="8"/>
  <c r="AY11" i="8"/>
  <c r="AW14" i="8"/>
  <c r="AW9" i="8"/>
  <c r="AW22" i="8"/>
  <c r="BC22" i="8" s="1"/>
  <c r="BD22" i="8" s="1"/>
  <c r="AY20" i="8"/>
  <c r="AW12" i="8"/>
  <c r="AW13" i="8"/>
  <c r="AY21" i="8"/>
  <c r="AZ11" i="8"/>
  <c r="AZ19" i="8"/>
  <c r="AW10" i="8"/>
  <c r="AW21" i="8"/>
  <c r="AX19" i="8"/>
  <c r="AX20" i="8"/>
  <c r="BA10" i="8"/>
  <c r="BB15" i="8"/>
  <c r="AP18" i="8"/>
  <c r="AO21" i="8"/>
  <c r="AP15" i="8"/>
  <c r="AQ14" i="8"/>
  <c r="AO20" i="8"/>
  <c r="AP19" i="8"/>
  <c r="AN19" i="8"/>
  <c r="AN11" i="8"/>
  <c r="AN9" i="8"/>
  <c r="AQ13" i="8"/>
  <c r="AQ18" i="8"/>
  <c r="AQ15" i="8"/>
  <c r="AQ12" i="8"/>
  <c r="AQ20" i="8"/>
  <c r="AP21" i="8"/>
  <c r="AP22" i="8"/>
  <c r="AO18" i="8"/>
  <c r="AO15" i="8"/>
  <c r="AO19" i="8"/>
  <c r="AP12" i="8"/>
  <c r="AO14" i="8"/>
  <c r="AN13" i="8"/>
  <c r="AN12" i="8"/>
  <c r="AO10" i="8"/>
  <c r="AQ8" i="8"/>
  <c r="AQ9" i="8"/>
  <c r="AP8" i="8"/>
  <c r="AP9" i="8"/>
  <c r="AO8" i="8"/>
  <c r="AN23" i="8"/>
  <c r="AO25" i="8"/>
  <c r="AP23" i="8"/>
  <c r="AP11" i="8"/>
  <c r="AP10" i="8"/>
  <c r="AO11" i="8"/>
  <c r="AQ25" i="8"/>
  <c r="AQ21" i="8"/>
  <c r="AP24" i="8"/>
  <c r="AQ22" i="8"/>
  <c r="AP25" i="8"/>
  <c r="AO9" i="8"/>
  <c r="AQ19" i="8"/>
  <c r="AP13" i="8"/>
  <c r="AO13" i="8"/>
  <c r="AN20" i="8"/>
  <c r="AN24" i="8"/>
  <c r="AO23" i="8"/>
  <c r="AN21" i="8"/>
  <c r="AN8" i="8"/>
  <c r="AO22" i="8"/>
  <c r="AN14" i="8"/>
  <c r="AO24" i="8"/>
  <c r="AP20" i="8"/>
  <c r="AQ10" i="8"/>
  <c r="AO12" i="8"/>
  <c r="AN25" i="8"/>
  <c r="AN18" i="8"/>
  <c r="AT18" i="8" s="1"/>
  <c r="AU18" i="8" s="1"/>
  <c r="AQ24" i="8"/>
  <c r="AN15" i="8"/>
  <c r="AQ23" i="8"/>
  <c r="AQ11" i="8"/>
  <c r="AN10" i="8"/>
  <c r="AN22" i="8"/>
  <c r="AP14" i="8"/>
  <c r="BA23" i="8"/>
  <c r="BB10" i="8"/>
  <c r="AS23" i="8"/>
  <c r="AR10" i="8"/>
  <c r="AS10" i="8"/>
  <c r="AR23" i="8"/>
  <c r="BC10" i="8" l="1"/>
  <c r="BD10" i="8" s="1"/>
  <c r="BC14" i="8"/>
  <c r="BD14" i="8" s="1"/>
  <c r="BC15" i="8"/>
  <c r="BD15" i="8" s="1"/>
  <c r="BC23" i="8"/>
  <c r="BD23" i="8" s="1"/>
  <c r="BC25" i="8"/>
  <c r="BD25" i="8" s="1"/>
  <c r="BC9" i="8"/>
  <c r="BD9" i="8" s="1"/>
  <c r="BC20" i="8"/>
  <c r="BD20" i="8" s="1"/>
  <c r="AT15" i="8"/>
  <c r="AU15" i="8" s="1"/>
  <c r="BC21" i="8"/>
  <c r="BD21" i="8" s="1"/>
  <c r="BC8" i="8"/>
  <c r="BD8" i="8" s="1"/>
  <c r="BC12" i="8"/>
  <c r="BD12" i="8" s="1"/>
  <c r="BC19" i="8"/>
  <c r="BD19" i="8" s="1"/>
  <c r="BC24" i="8"/>
  <c r="BD24" i="8" s="1"/>
  <c r="BC11" i="8"/>
  <c r="BD11" i="8" s="1"/>
  <c r="BC13" i="8"/>
  <c r="BD13" i="8" s="1"/>
  <c r="BC18" i="8"/>
  <c r="BD18" i="8" s="1"/>
  <c r="AF18" i="8" s="1"/>
  <c r="AT25" i="8"/>
  <c r="AU25" i="8" s="1"/>
  <c r="AT21" i="8"/>
  <c r="AU21" i="8" s="1"/>
  <c r="AT8" i="8"/>
  <c r="AU8" i="8" s="1"/>
  <c r="AT22" i="8"/>
  <c r="AU22" i="8" s="1"/>
  <c r="AF22" i="8" s="1"/>
  <c r="AT10" i="8"/>
  <c r="AU10" i="8" s="1"/>
  <c r="AT20" i="8"/>
  <c r="AU20" i="8" s="1"/>
  <c r="AT14" i="8"/>
  <c r="AU14" i="8" s="1"/>
  <c r="AT9" i="8"/>
  <c r="AU9" i="8" s="1"/>
  <c r="AT11" i="8"/>
  <c r="AU11" i="8" s="1"/>
  <c r="AT12" i="8"/>
  <c r="AU12" i="8" s="1"/>
  <c r="AT19" i="8"/>
  <c r="AU19" i="8" s="1"/>
  <c r="AT24" i="8"/>
  <c r="AU24" i="8" s="1"/>
  <c r="AT23" i="8"/>
  <c r="AU23" i="8" s="1"/>
  <c r="AT13" i="8"/>
  <c r="AU13" i="8" s="1"/>
  <c r="AF14" i="8" l="1"/>
  <c r="AF20" i="8"/>
  <c r="AF9" i="8"/>
  <c r="AF25" i="8"/>
  <c r="AF15" i="8"/>
  <c r="AF23" i="8"/>
  <c r="AF12" i="8"/>
  <c r="AF8" i="8"/>
  <c r="AF19" i="8"/>
  <c r="AF10" i="8"/>
  <c r="AF11" i="8"/>
  <c r="AF21" i="8"/>
  <c r="AF24" i="8"/>
  <c r="AF13" i="8"/>
  <c r="V18" i="8"/>
  <c r="V19" i="8" l="1"/>
  <c r="AL19" i="8" s="1"/>
  <c r="V14" i="8"/>
  <c r="AL14" i="8" s="1"/>
  <c r="V8" i="8"/>
  <c r="V23" i="8"/>
  <c r="AL23" i="8" s="1"/>
  <c r="V24" i="8"/>
  <c r="AL24" i="8" s="1"/>
  <c r="V9" i="8"/>
  <c r="AL9" i="8" s="1"/>
  <c r="V11" i="8"/>
  <c r="AL11" i="8" s="1"/>
  <c r="V21" i="8"/>
  <c r="AL21" i="8" s="1"/>
  <c r="V12" i="8"/>
  <c r="AL12" i="8" s="1"/>
  <c r="V22" i="8"/>
  <c r="AL22" i="8" s="1"/>
  <c r="V10" i="8"/>
  <c r="AL10" i="8" s="1"/>
  <c r="V15" i="8"/>
  <c r="AL15" i="8" s="1"/>
  <c r="V25" i="8"/>
  <c r="AL25" i="8" s="1"/>
  <c r="V20" i="8"/>
  <c r="AL20" i="8" s="1"/>
  <c r="V13" i="8"/>
  <c r="AL13" i="8" s="1"/>
  <c r="P19" i="8"/>
  <c r="M19" i="8"/>
  <c r="K19" i="8"/>
  <c r="AL18" i="8"/>
  <c r="N19" i="8"/>
  <c r="O19" i="8"/>
  <c r="Q19" i="8"/>
  <c r="BY61" i="8" l="1"/>
  <c r="CA61" i="8" s="1"/>
  <c r="O20" i="8"/>
  <c r="BY21" i="8"/>
  <c r="BY39" i="8"/>
  <c r="CC39" i="8" s="1"/>
  <c r="Q20" i="8"/>
  <c r="N20" i="8"/>
  <c r="K20" i="8"/>
  <c r="BY26" i="8"/>
  <c r="CA26" i="8" s="1"/>
  <c r="BY22" i="8"/>
  <c r="BZ22" i="8" s="1"/>
  <c r="M20" i="8"/>
  <c r="P20" i="8"/>
  <c r="BY51" i="8"/>
  <c r="CB51" i="8" s="1"/>
  <c r="BY29" i="8"/>
  <c r="BZ29" i="8" s="1"/>
  <c r="BY50" i="8"/>
  <c r="CC50" i="8" s="1"/>
  <c r="BY9" i="8"/>
  <c r="CB9" i="8" s="1"/>
  <c r="BY49" i="8"/>
  <c r="BZ49" i="8" s="1"/>
  <c r="Q22" i="8"/>
  <c r="N10" i="8"/>
  <c r="BY36" i="8"/>
  <c r="CA36" i="8" s="1"/>
  <c r="N9" i="8"/>
  <c r="M9" i="8"/>
  <c r="M10" i="8"/>
  <c r="Q10" i="8"/>
  <c r="K10" i="8"/>
  <c r="P9" i="8"/>
  <c r="K9" i="8"/>
  <c r="P10" i="8"/>
  <c r="O10" i="8"/>
  <c r="BY28" i="8"/>
  <c r="CB28" i="8" s="1"/>
  <c r="AL8" i="8"/>
  <c r="BY41" i="8" s="1"/>
  <c r="Q9" i="8"/>
  <c r="M22" i="8"/>
  <c r="O9" i="8"/>
  <c r="BY14" i="8"/>
  <c r="CA14" i="8" s="1"/>
  <c r="P12" i="8"/>
  <c r="BY25" i="8"/>
  <c r="CC25" i="8" s="1"/>
  <c r="M12" i="8"/>
  <c r="Q12" i="8"/>
  <c r="K12" i="8"/>
  <c r="BY30" i="8"/>
  <c r="CA30" i="8" s="1"/>
  <c r="BY53" i="8"/>
  <c r="BZ53" i="8" s="1"/>
  <c r="N23" i="8"/>
  <c r="BY56" i="8"/>
  <c r="CC56" i="8" s="1"/>
  <c r="P13" i="8"/>
  <c r="BY17" i="8"/>
  <c r="BZ17" i="8" s="1"/>
  <c r="BY40" i="8"/>
  <c r="CB40" i="8" s="1"/>
  <c r="BY48" i="8"/>
  <c r="CC48" i="8" s="1"/>
  <c r="BY11" i="8"/>
  <c r="CA11" i="8" s="1"/>
  <c r="O13" i="8"/>
  <c r="M13" i="8"/>
  <c r="N11" i="8"/>
  <c r="BY15" i="8"/>
  <c r="CB15" i="8" s="1"/>
  <c r="P14" i="8"/>
  <c r="Q11" i="8"/>
  <c r="N13" i="8"/>
  <c r="BY42" i="8"/>
  <c r="CA42" i="8" s="1"/>
  <c r="Q16" i="8"/>
  <c r="BY46" i="8"/>
  <c r="CC46" i="8" s="1"/>
  <c r="O12" i="8"/>
  <c r="N12" i="8"/>
  <c r="P11" i="8"/>
  <c r="BY60" i="8"/>
  <c r="Q13" i="8"/>
  <c r="BY31" i="8"/>
  <c r="CA31" i="8" s="1"/>
  <c r="K11" i="8"/>
  <c r="K13" i="8"/>
  <c r="O11" i="8"/>
  <c r="M11" i="8"/>
  <c r="O26" i="8"/>
  <c r="P26" i="8"/>
  <c r="BY16" i="8"/>
  <c r="BY20" i="8"/>
  <c r="CC20" i="8" s="1"/>
  <c r="BY43" i="8"/>
  <c r="BZ43" i="8" s="1"/>
  <c r="BY27" i="8"/>
  <c r="CC27" i="8" s="1"/>
  <c r="N21" i="8"/>
  <c r="K24" i="8"/>
  <c r="O16" i="8"/>
  <c r="BY32" i="8"/>
  <c r="CC32" i="8" s="1"/>
  <c r="N22" i="8"/>
  <c r="P21" i="8"/>
  <c r="O15" i="8"/>
  <c r="N15" i="8"/>
  <c r="BY8" i="8"/>
  <c r="CA8" i="8" s="1"/>
  <c r="O23" i="8"/>
  <c r="K26" i="8"/>
  <c r="P23" i="8"/>
  <c r="BY12" i="8"/>
  <c r="CB12" i="8" s="1"/>
  <c r="M21" i="8"/>
  <c r="P25" i="8"/>
  <c r="M25" i="8"/>
  <c r="O25" i="8"/>
  <c r="P24" i="8"/>
  <c r="N14" i="8"/>
  <c r="N16" i="8"/>
  <c r="M14" i="8"/>
  <c r="BY35" i="8"/>
  <c r="K14" i="8"/>
  <c r="BY37" i="8"/>
  <c r="CC37" i="8" s="1"/>
  <c r="O22" i="8"/>
  <c r="O21" i="8"/>
  <c r="P16" i="8"/>
  <c r="BY52" i="8"/>
  <c r="CB52" i="8" s="1"/>
  <c r="K22" i="8"/>
  <c r="M23" i="8"/>
  <c r="K23" i="8"/>
  <c r="K21" i="8"/>
  <c r="N24" i="8"/>
  <c r="O14" i="8"/>
  <c r="K16" i="8"/>
  <c r="BZ39" i="8"/>
  <c r="BY58" i="8"/>
  <c r="P22" i="8"/>
  <c r="O24" i="8"/>
  <c r="Q21" i="8"/>
  <c r="N25" i="8"/>
  <c r="Q23" i="8"/>
  <c r="Q25" i="8"/>
  <c r="Q26" i="8"/>
  <c r="Q24" i="8"/>
  <c r="BY13" i="8"/>
  <c r="BZ13" i="8" s="1"/>
  <c r="Q14" i="8"/>
  <c r="BY55" i="8"/>
  <c r="CA55" i="8" s="1"/>
  <c r="P15" i="8"/>
  <c r="K15" i="8"/>
  <c r="K25" i="8"/>
  <c r="M26" i="8"/>
  <c r="N26" i="8"/>
  <c r="M24" i="8"/>
  <c r="M15" i="8"/>
  <c r="M16" i="8"/>
  <c r="Q15" i="8"/>
  <c r="CA39" i="8"/>
  <c r="CB39" i="8"/>
  <c r="BY34" i="8"/>
  <c r="CB34" i="8" s="1"/>
  <c r="CC61" i="8"/>
  <c r="CB61" i="8"/>
  <c r="BZ61" i="8"/>
  <c r="CC21" i="8"/>
  <c r="BZ21" i="8"/>
  <c r="CA21" i="8"/>
  <c r="CB21" i="8"/>
  <c r="BY10" i="8"/>
  <c r="BY47" i="8"/>
  <c r="BY18" i="8"/>
  <c r="BY59" i="8"/>
  <c r="BY44" i="8"/>
  <c r="BY54" i="8"/>
  <c r="BY38" i="8"/>
  <c r="BY24" i="8"/>
  <c r="CA22" i="8"/>
  <c r="L19" i="8"/>
  <c r="R19" i="8"/>
  <c r="R20" i="8" l="1"/>
  <c r="CB29" i="8"/>
  <c r="CA29" i="8"/>
  <c r="CC29" i="8"/>
  <c r="BY57" i="8"/>
  <c r="CC57" i="8" s="1"/>
  <c r="BZ26" i="8"/>
  <c r="CB26" i="8"/>
  <c r="CC26" i="8"/>
  <c r="CB22" i="8"/>
  <c r="CC22" i="8"/>
  <c r="L20" i="8"/>
  <c r="CB37" i="8"/>
  <c r="CA37" i="8"/>
  <c r="BZ37" i="8"/>
  <c r="CA9" i="8"/>
  <c r="BZ56" i="8"/>
  <c r="BY23" i="8"/>
  <c r="CB23" i="8" s="1"/>
  <c r="CB17" i="8"/>
  <c r="BZ50" i="8"/>
  <c r="CC9" i="8"/>
  <c r="BZ9" i="8"/>
  <c r="BY19" i="8"/>
  <c r="CA19" i="8" s="1"/>
  <c r="BY7" i="8"/>
  <c r="CC7" i="8" s="1"/>
  <c r="BY62" i="8"/>
  <c r="CB62" i="8" s="1"/>
  <c r="BY33" i="8"/>
  <c r="CA33" i="8" s="1"/>
  <c r="CC15" i="8"/>
  <c r="CC51" i="8"/>
  <c r="CB50" i="8"/>
  <c r="CA51" i="8"/>
  <c r="BZ51" i="8"/>
  <c r="CA50" i="8"/>
  <c r="CA15" i="8"/>
  <c r="CC40" i="8"/>
  <c r="CB49" i="8"/>
  <c r="BZ40" i="8"/>
  <c r="CA40" i="8"/>
  <c r="BZ15" i="8"/>
  <c r="BZ25" i="8"/>
  <c r="CB14" i="8"/>
  <c r="CC14" i="8"/>
  <c r="CC36" i="8"/>
  <c r="BZ14" i="8"/>
  <c r="L10" i="8"/>
  <c r="L9" i="8"/>
  <c r="BZ36" i="8"/>
  <c r="CA49" i="8"/>
  <c r="CB36" i="8"/>
  <c r="CC49" i="8"/>
  <c r="BZ42" i="8"/>
  <c r="BY45" i="8"/>
  <c r="R10" i="8"/>
  <c r="R9" i="8"/>
  <c r="R12" i="8"/>
  <c r="CA56" i="8"/>
  <c r="CA46" i="8"/>
  <c r="CB56" i="8"/>
  <c r="BZ46" i="8"/>
  <c r="CB25" i="8"/>
  <c r="CA25" i="8"/>
  <c r="CC28" i="8"/>
  <c r="CB46" i="8"/>
  <c r="BZ28" i="8"/>
  <c r="CA28" i="8"/>
  <c r="BZ41" i="8"/>
  <c r="CA41" i="8"/>
  <c r="CC41" i="8"/>
  <c r="CB41" i="8"/>
  <c r="R11" i="8"/>
  <c r="CC43" i="8"/>
  <c r="CA53" i="8"/>
  <c r="CC53" i="8"/>
  <c r="CB53" i="8"/>
  <c r="BZ30" i="8"/>
  <c r="CB27" i="8"/>
  <c r="CC30" i="8"/>
  <c r="CB30" i="8"/>
  <c r="CA17" i="8"/>
  <c r="CA20" i="8"/>
  <c r="CC17" i="8"/>
  <c r="BZ20" i="8"/>
  <c r="CB20" i="8"/>
  <c r="L12" i="8"/>
  <c r="BZ48" i="8"/>
  <c r="CB48" i="8"/>
  <c r="CA48" i="8"/>
  <c r="CC11" i="8"/>
  <c r="BZ11" i="8"/>
  <c r="CB11" i="8"/>
  <c r="BZ32" i="8"/>
  <c r="R16" i="8"/>
  <c r="CA52" i="8"/>
  <c r="CA32" i="8"/>
  <c r="CC52" i="8"/>
  <c r="CB32" i="8"/>
  <c r="BZ52" i="8"/>
  <c r="CB31" i="8"/>
  <c r="CC12" i="8"/>
  <c r="CB42" i="8"/>
  <c r="CC42" i="8"/>
  <c r="CC31" i="8"/>
  <c r="BZ12" i="8"/>
  <c r="CA12" i="8"/>
  <c r="R22" i="8"/>
  <c r="BZ31" i="8"/>
  <c r="L13" i="8"/>
  <c r="L21" i="8"/>
  <c r="R23" i="8"/>
  <c r="L11" i="8"/>
  <c r="R13" i="8"/>
  <c r="CB13" i="8"/>
  <c r="CA60" i="8"/>
  <c r="CB60" i="8"/>
  <c r="BZ60" i="8"/>
  <c r="L23" i="8"/>
  <c r="R26" i="8"/>
  <c r="R14" i="8"/>
  <c r="BZ27" i="8"/>
  <c r="CA43" i="8"/>
  <c r="CB43" i="8"/>
  <c r="CA27" i="8"/>
  <c r="CB8" i="8"/>
  <c r="CC60" i="8"/>
  <c r="L25" i="8"/>
  <c r="CA16" i="8"/>
  <c r="BZ16" i="8"/>
  <c r="CC16" i="8"/>
  <c r="CB16" i="8"/>
  <c r="R24" i="8"/>
  <c r="CC55" i="8"/>
  <c r="CC8" i="8"/>
  <c r="BZ8" i="8"/>
  <c r="L15" i="8"/>
  <c r="L24" i="8"/>
  <c r="R21" i="8"/>
  <c r="L22" i="8"/>
  <c r="R25" i="8"/>
  <c r="CB55" i="8"/>
  <c r="L26" i="8"/>
  <c r="L16" i="8"/>
  <c r="BZ55" i="8"/>
  <c r="CB58" i="8"/>
  <c r="CA58" i="8"/>
  <c r="L14" i="8"/>
  <c r="BZ34" i="8"/>
  <c r="CC58" i="8"/>
  <c r="BZ58" i="8"/>
  <c r="CC35" i="8"/>
  <c r="CB35" i="8"/>
  <c r="BZ35" i="8"/>
  <c r="CA35" i="8"/>
  <c r="CA13" i="8"/>
  <c r="CC13" i="8"/>
  <c r="R15" i="8"/>
  <c r="CC34" i="8"/>
  <c r="CA34" i="8"/>
  <c r="CC44" i="8"/>
  <c r="CA44" i="8"/>
  <c r="CB44" i="8"/>
  <c r="BZ44" i="8"/>
  <c r="CA59" i="8"/>
  <c r="BZ59" i="8"/>
  <c r="CB59" i="8"/>
  <c r="CC59" i="8"/>
  <c r="CC54" i="8"/>
  <c r="BZ54" i="8"/>
  <c r="CB54" i="8"/>
  <c r="CA54" i="8"/>
  <c r="CA18" i="8"/>
  <c r="BZ18" i="8"/>
  <c r="CB18" i="8"/>
  <c r="CC18" i="8"/>
  <c r="CA24" i="8"/>
  <c r="BZ24" i="8"/>
  <c r="CC24" i="8"/>
  <c r="CB24" i="8"/>
  <c r="CC47" i="8"/>
  <c r="BZ47" i="8"/>
  <c r="CA47" i="8"/>
  <c r="CB47" i="8"/>
  <c r="CC38" i="8"/>
  <c r="BZ38" i="8"/>
  <c r="CB38" i="8"/>
  <c r="CA38" i="8"/>
  <c r="CC10" i="8"/>
  <c r="CA10" i="8"/>
  <c r="BZ10" i="8"/>
  <c r="CB10" i="8"/>
  <c r="CA7" i="8" l="1"/>
  <c r="BZ7" i="8"/>
  <c r="CB57" i="8"/>
  <c r="CA57" i="8"/>
  <c r="BZ57" i="8"/>
  <c r="BZ62" i="8"/>
  <c r="CB7" i="8"/>
  <c r="CA23" i="8"/>
  <c r="CC62" i="8"/>
  <c r="BZ23" i="8"/>
  <c r="CC23" i="8"/>
  <c r="BZ19" i="8"/>
  <c r="CB19" i="8"/>
  <c r="CC19" i="8"/>
  <c r="CC33" i="8"/>
  <c r="BZ33" i="8"/>
  <c r="CB33" i="8"/>
  <c r="CA62" i="8"/>
  <c r="CC45" i="8"/>
  <c r="CB45" i="8"/>
  <c r="BZ45" i="8"/>
  <c r="CA45" i="8"/>
</calcChain>
</file>

<file path=xl/sharedStrings.xml><?xml version="1.0" encoding="utf-8"?>
<sst xmlns="http://schemas.openxmlformats.org/spreadsheetml/2006/main" count="334" uniqueCount="245">
  <si>
    <t>Pl</t>
  </si>
  <si>
    <t>W</t>
  </si>
  <si>
    <t>D</t>
  </si>
  <si>
    <t>L</t>
  </si>
  <si>
    <t>Pnt</t>
  </si>
  <si>
    <t>Rank</t>
  </si>
  <si>
    <t>Team</t>
  </si>
  <si>
    <t>Place</t>
  </si>
  <si>
    <t>GF</t>
  </si>
  <si>
    <t>GA</t>
  </si>
  <si>
    <t>Preliminary Round</t>
  </si>
  <si>
    <t>Final</t>
  </si>
  <si>
    <t>Qualification Round</t>
  </si>
  <si>
    <t>Quarterfinals</t>
  </si>
  <si>
    <t>Semi-Finals</t>
  </si>
  <si>
    <t>WO</t>
  </si>
  <si>
    <t>GF - GA</t>
  </si>
  <si>
    <t>English</t>
  </si>
  <si>
    <t>Group</t>
  </si>
  <si>
    <t>Yes</t>
  </si>
  <si>
    <t>Date + Time + GMT</t>
  </si>
  <si>
    <t>Switzerland</t>
  </si>
  <si>
    <t>Sweden</t>
  </si>
  <si>
    <t>Belarus</t>
  </si>
  <si>
    <t>France</t>
  </si>
  <si>
    <t>Canada</t>
  </si>
  <si>
    <t>United States</t>
  </si>
  <si>
    <t>Latvia</t>
  </si>
  <si>
    <t>Finland</t>
  </si>
  <si>
    <t>Norway</t>
  </si>
  <si>
    <t>Germany</t>
  </si>
  <si>
    <t>Slovakia</t>
  </si>
  <si>
    <t>Czech Republic</t>
  </si>
  <si>
    <t>Denmark</t>
  </si>
  <si>
    <t>Third-Place Play-Off</t>
  </si>
  <si>
    <t>Quarter Final 1 Winner</t>
  </si>
  <si>
    <t>Quarter Final 2 Winner</t>
  </si>
  <si>
    <t>Quarter Final 3 Winner</t>
  </si>
  <si>
    <t>Quarter Final 4 Winner</t>
  </si>
  <si>
    <t>Semi Final 1 Winner</t>
  </si>
  <si>
    <t>Semi Final 2 Winner</t>
  </si>
  <si>
    <t>Semi Final 1 Loser</t>
  </si>
  <si>
    <t>Semi Final 2 Loser</t>
  </si>
  <si>
    <t>German</t>
  </si>
  <si>
    <t>French</t>
  </si>
  <si>
    <t>Spanish</t>
  </si>
  <si>
    <t>GMT</t>
  </si>
  <si>
    <t>Language</t>
  </si>
  <si>
    <t>Viertelfinale</t>
  </si>
  <si>
    <t>Quart de Finale</t>
  </si>
  <si>
    <t>Cuartos de Final</t>
  </si>
  <si>
    <t>Halbfinale</t>
  </si>
  <si>
    <t>Demi-Finale</t>
  </si>
  <si>
    <t>Semifinales</t>
  </si>
  <si>
    <t>Spiel um Platz 3</t>
  </si>
  <si>
    <t>Match pour la troisième place</t>
  </si>
  <si>
    <t>Tercer puesto</t>
  </si>
  <si>
    <t>Finale</t>
  </si>
  <si>
    <t>Gruppe</t>
  </si>
  <si>
    <t>Groupe</t>
  </si>
  <si>
    <t>Grupo</t>
  </si>
  <si>
    <t>G</t>
  </si>
  <si>
    <t>V</t>
  </si>
  <si>
    <t>P</t>
  </si>
  <si>
    <t>Jan</t>
  </si>
  <si>
    <t>Feb</t>
  </si>
  <si>
    <t>Apr</t>
  </si>
  <si>
    <t>Mai</t>
  </si>
  <si>
    <t>Jun</t>
  </si>
  <si>
    <t>Jul</t>
  </si>
  <si>
    <t>Aug</t>
  </si>
  <si>
    <t>Sep</t>
  </si>
  <si>
    <t>Oct</t>
  </si>
  <si>
    <t>Nov</t>
  </si>
  <si>
    <t>Dez</t>
  </si>
  <si>
    <t>Juin</t>
  </si>
  <si>
    <t>Juil</t>
  </si>
  <si>
    <t>Schweiz</t>
  </si>
  <si>
    <t>Suisse</t>
  </si>
  <si>
    <t>Suiza</t>
  </si>
  <si>
    <t>Deutschland</t>
  </si>
  <si>
    <t>Allemagne</t>
  </si>
  <si>
    <t>Alemania</t>
  </si>
  <si>
    <t>Frankreich</t>
  </si>
  <si>
    <t>Francia</t>
  </si>
  <si>
    <t>Schweden</t>
  </si>
  <si>
    <t>Suède</t>
  </si>
  <si>
    <t>Suecia</t>
  </si>
  <si>
    <t>Tschechien</t>
  </si>
  <si>
    <t>République Tchèque</t>
  </si>
  <si>
    <t>República Checa</t>
  </si>
  <si>
    <t>Sieger Viertelfinale 1</t>
  </si>
  <si>
    <t>Vainqueur du Quart de Finale 1</t>
  </si>
  <si>
    <t>Primer semifinalista</t>
  </si>
  <si>
    <t>Sieger Viertelfinale 2</t>
  </si>
  <si>
    <t>Vainqueur du Quart de Finale 2</t>
  </si>
  <si>
    <t>Segundo semifinalista</t>
  </si>
  <si>
    <t>Sieger Viertelfinale 3</t>
  </si>
  <si>
    <t>Vainqueur du Quart de Finale 3</t>
  </si>
  <si>
    <t>Tercer semifinalista</t>
  </si>
  <si>
    <t>Sieger Viertelfinale 4</t>
  </si>
  <si>
    <t>Vainqueur du Quart de Finale 4</t>
  </si>
  <si>
    <t>Cuarto semifinalista</t>
  </si>
  <si>
    <t>Sieger Halbfinale 1</t>
  </si>
  <si>
    <t>Vainqueur de la Demi-Finale 1</t>
  </si>
  <si>
    <t>Finalista</t>
  </si>
  <si>
    <t>Sieger Halbfinale 2</t>
  </si>
  <si>
    <t>Vainqueur de la Demi-Finale 2</t>
  </si>
  <si>
    <t>Verlierer Halbfinale 1</t>
  </si>
  <si>
    <t>Perdant de la Demi-Finale 1</t>
  </si>
  <si>
    <t>Perdedor semifinal</t>
  </si>
  <si>
    <t>Verlierer Halbfinale 2</t>
  </si>
  <si>
    <t>Perdant de la Demi-Finale 2</t>
  </si>
  <si>
    <t>Summer Time</t>
  </si>
  <si>
    <t>GTM-Time</t>
  </si>
  <si>
    <t>GMT + 1:00</t>
  </si>
  <si>
    <t>Minutes</t>
  </si>
  <si>
    <t>+0 min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</si>
  <si>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</si>
  <si>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</si>
  <si>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</si>
  <si>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</si>
  <si>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</si>
  <si>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</si>
  <si>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</si>
  <si>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</si>
  <si>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</si>
  <si>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</si>
  <si>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</si>
  <si>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</si>
  <si>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</si>
  <si>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</si>
  <si>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</si>
  <si>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</si>
  <si>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</si>
  <si>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</si>
  <si>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</si>
  <si>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</si>
  <si>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</si>
  <si>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</si>
  <si>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+15 min</t>
  </si>
  <si>
    <t>+30 min</t>
  </si>
  <si>
    <t>+45 min</t>
  </si>
  <si>
    <t>Settings</t>
  </si>
  <si>
    <t>Language ID</t>
  </si>
  <si>
    <t>GMT Delta</t>
  </si>
  <si>
    <t>Sun</t>
  </si>
  <si>
    <t>Mon</t>
  </si>
  <si>
    <t>Tue</t>
  </si>
  <si>
    <t>Wed</t>
  </si>
  <si>
    <t>Thu</t>
  </si>
  <si>
    <t>Fri</t>
  </si>
  <si>
    <t>Sat</t>
  </si>
  <si>
    <t>Mar</t>
  </si>
  <si>
    <t>May</t>
  </si>
  <si>
    <t>Dec</t>
  </si>
  <si>
    <t>S</t>
  </si>
  <si>
    <t>N</t>
  </si>
  <si>
    <t>ET - KT</t>
  </si>
  <si>
    <t>BP - BC</t>
  </si>
  <si>
    <t>GF - GC</t>
  </si>
  <si>
    <t>OT-W</t>
  </si>
  <si>
    <t>OT-L</t>
  </si>
  <si>
    <t>Janv</t>
  </si>
  <si>
    <t>Ene</t>
  </si>
  <si>
    <t>Févr</t>
  </si>
  <si>
    <t>Mrz</t>
  </si>
  <si>
    <t>Mars</t>
  </si>
  <si>
    <t>Avr</t>
  </si>
  <si>
    <t>Abr</t>
  </si>
  <si>
    <t>Août</t>
  </si>
  <si>
    <t>Ago</t>
  </si>
  <si>
    <t>Sept</t>
  </si>
  <si>
    <t>Okt</t>
  </si>
  <si>
    <t>Déc</t>
  </si>
  <si>
    <t>Dic</t>
  </si>
  <si>
    <t>Slowakei</t>
  </si>
  <si>
    <t>Slovaquie</t>
  </si>
  <si>
    <t>Eslovaquia</t>
  </si>
  <si>
    <t>Bélarus</t>
  </si>
  <si>
    <t>Bielorrusia</t>
  </si>
  <si>
    <t>Lettland</t>
  </si>
  <si>
    <t>Lettonie</t>
  </si>
  <si>
    <t>Letonia</t>
  </si>
  <si>
    <t>Finnland</t>
  </si>
  <si>
    <t>Finlande</t>
  </si>
  <si>
    <t>Finlandia</t>
  </si>
  <si>
    <t>Norwegen</t>
  </si>
  <si>
    <t>Norvège</t>
  </si>
  <si>
    <t>Noruega</t>
  </si>
  <si>
    <t>Dänemark</t>
  </si>
  <si>
    <t>Danemark</t>
  </si>
  <si>
    <t>Dinamarca</t>
  </si>
  <si>
    <t>PNT</t>
  </si>
  <si>
    <t>PKT</t>
  </si>
  <si>
    <t>PTS</t>
  </si>
  <si>
    <t>PL</t>
  </si>
  <si>
    <t>Vorentscheid</t>
  </si>
  <si>
    <t>Tour Préliminaire</t>
  </si>
  <si>
    <t>Ronda Preliminar</t>
  </si>
  <si>
    <t>Ronda de Calificación</t>
  </si>
  <si>
    <t>Tour de Qualification</t>
  </si>
  <si>
    <t>Qualifikation Runde</t>
  </si>
  <si>
    <t>SP</t>
  </si>
  <si>
    <t>J</t>
  </si>
  <si>
    <t>Canadá</t>
  </si>
  <si>
    <t>Kanada</t>
  </si>
  <si>
    <t>États-Unis</t>
  </si>
  <si>
    <t>Estados Unidos</t>
  </si>
  <si>
    <t>Équipe</t>
  </si>
  <si>
    <t>Equipo</t>
  </si>
  <si>
    <r>
      <t xml:space="preserve">International Ice Hockey Federation (IIHF)
</t>
    </r>
    <r>
      <rPr>
        <sz val="12"/>
        <rFont val="Calibri"/>
        <family val="2"/>
        <charset val="204"/>
      </rPr>
      <t>Official Site:</t>
    </r>
    <r>
      <rPr>
        <i/>
        <sz val="12"/>
        <rFont val="Calibri"/>
        <family val="2"/>
        <charset val="204"/>
      </rPr>
      <t xml:space="preserve">
</t>
    </r>
    <r>
      <rPr>
        <i/>
        <u/>
        <sz val="12"/>
        <rFont val="Calibri"/>
        <family val="2"/>
        <charset val="204"/>
      </rPr>
      <t>http://www.iihf.com</t>
    </r>
  </si>
  <si>
    <t>Kazakhstan</t>
  </si>
  <si>
    <t>Kazajstán</t>
  </si>
  <si>
    <t>Kasachstan</t>
  </si>
  <si>
    <t>Italy</t>
  </si>
  <si>
    <t>Italien</t>
  </si>
  <si>
    <t>Italie</t>
  </si>
  <si>
    <t>Italia</t>
  </si>
  <si>
    <t>Slovenia</t>
  </si>
  <si>
    <t>Slowenien</t>
  </si>
  <si>
    <t>Slovénie</t>
  </si>
  <si>
    <t>Eslovenia</t>
  </si>
  <si>
    <t>Austria</t>
  </si>
  <si>
    <t>Österreich</t>
  </si>
  <si>
    <t>Autriche</t>
  </si>
  <si>
    <t>Home Page: www.excely.com</t>
  </si>
  <si>
    <t>TBD</t>
  </si>
  <si>
    <t>Ice Hockey World Championship 2020 Schedule</t>
  </si>
  <si>
    <t>Ice Hockey World Cup 2020 Schedule</t>
  </si>
  <si>
    <t>Great Britain</t>
  </si>
  <si>
    <t>Großbritannien</t>
  </si>
  <si>
    <t>Grande Bretagne</t>
  </si>
  <si>
    <t>Gran Bretaña</t>
  </si>
  <si>
    <t>Lausanne Arena</t>
  </si>
  <si>
    <t>Hallenstadion</t>
  </si>
  <si>
    <t>World Champion 2020</t>
  </si>
  <si>
    <t>Weltmeister 2020</t>
  </si>
  <si>
    <t>Champion du Monde 2020</t>
  </si>
  <si>
    <t>Campeón 2020</t>
  </si>
  <si>
    <t>Russian Federation</t>
  </si>
  <si>
    <t>Fédération Russe</t>
  </si>
  <si>
    <t>Federación Rusa</t>
  </si>
  <si>
    <t>Russische Föderation</t>
  </si>
  <si>
    <r>
      <rPr>
        <b/>
        <u/>
        <sz val="14"/>
        <rFont val="Calibri"/>
        <family val="2"/>
        <charset val="204"/>
      </rPr>
      <t>Wallchart.io</t>
    </r>
    <r>
      <rPr>
        <sz val="14"/>
        <rFont val="Calibri"/>
        <family val="2"/>
        <charset val="204"/>
      </rPr>
      <t xml:space="preserve"> - Interactive Schedule
2020 IIHF World Championship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</si>
</sst>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;;;"/>
  </numFmts>
  <fonts count="25" x14ac:knownFonts="1">
    <font>
      <sz val="10"/>
      <name val="Calibri"/>
      <charset val="204"/>
    </font>
    <font>
      <sz val="10"/>
      <name val="Calibri"/>
      <charset val="204"/>
    </font>
    <font>
      <sz val="8"/>
      <name val="Calibri"/>
      <family val="2"/>
      <charset val="204"/>
    </font>
    <font>
      <b/>
      <sz val="16"/>
      <name val="Calibri"/>
      <family val="2"/>
      <charset val="204"/>
    </font>
    <font>
      <sz val="10"/>
      <color indexed="12"/>
      <name val="Calibri"/>
      <family val="2"/>
      <charset val="204"/>
    </font>
    <font>
      <sz val="10"/>
      <name val="Calibri"/>
      <family val="2"/>
      <charset val="204"/>
    </font>
    <font>
      <b/>
      <sz val="8"/>
      <name val="Calibri"/>
      <family val="2"/>
      <charset val="204"/>
    </font>
    <font>
      <sz val="8"/>
      <name val="Calibri"/>
      <family val="2"/>
      <charset val="204"/>
    </font>
    <font>
      <b/>
      <sz val="16"/>
      <color indexed="9"/>
      <name val="Calibri"/>
      <family val="2"/>
      <charset val="204"/>
    </font>
    <font>
      <b/>
      <sz val="12"/>
      <name val="Calibri"/>
      <family val="2"/>
      <charset val="204"/>
    </font>
    <font>
      <b/>
      <sz val="10"/>
      <color indexed="9"/>
      <name val="Calibri"/>
      <family val="2"/>
      <charset val="204"/>
    </font>
    <font>
      <sz val="36"/>
      <name val="Calibri"/>
      <family val="2"/>
      <charset val="204"/>
    </font>
    <font>
      <b/>
      <sz val="16"/>
      <color indexed="10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8"/>
      <color indexed="12"/>
      <name val="Calibri"/>
      <family val="2"/>
      <charset val="204"/>
    </font>
    <font>
      <sz val="10"/>
      <name val="Calibri"/>
      <family val="2"/>
      <charset val="204"/>
    </font>
    <font>
      <sz val="16"/>
      <name val="Calibri"/>
      <family val="2"/>
      <charset val="204"/>
    </font>
    <font>
      <sz val="12"/>
      <name val="Calibri"/>
      <family val="2"/>
      <charset val="204"/>
    </font>
    <font>
      <i/>
      <sz val="12"/>
      <name val="Calibri"/>
      <family val="2"/>
      <charset val="204"/>
    </font>
    <font>
      <i/>
      <u/>
      <sz val="12"/>
      <name val="Calibri"/>
      <family val="2"/>
      <charset val="204"/>
    </font>
    <font>
      <sz val="10"/>
      <name val="Calibri"/>
      <family val="2"/>
    </font>
    <font>
      <sz val="10"/>
      <color theme="0"/>
      <name val="Calibri"/>
      <family val="2"/>
      <charset val="204"/>
    </font>
    <font>
      <b/>
      <sz val="10"/>
      <color theme="0"/>
      <name val="Calibri"/>
      <family val="2"/>
      <charset val="204"/>
    </font>
    <font>
      <sz val="14"/>
      <name val="Calibri"/>
      <family val="2"/>
      <charset val="204"/>
    </font>
    <font>
      <b/>
      <u/>
      <sz val="14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48"/>
      </left>
      <right style="hair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 style="hair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48"/>
      </left>
      <right/>
      <top style="thin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 style="hair">
        <color indexed="48"/>
      </bottom>
      <diagonal/>
    </border>
    <border>
      <left/>
      <right/>
      <top style="thin">
        <color indexed="48"/>
      </top>
      <bottom style="hair">
        <color indexed="48"/>
      </bottom>
      <diagonal/>
    </border>
    <border>
      <left/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/>
      <top style="thin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  <border>
      <left/>
      <right/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/>
      <top style="hair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/>
      <top style="hair">
        <color indexed="48"/>
      </top>
      <bottom style="hair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/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/>
      <top style="hair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thin">
        <color indexed="12"/>
      </bottom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/>
      <top style="thin">
        <color indexed="48"/>
      </top>
      <bottom/>
      <diagonal/>
    </border>
    <border>
      <left/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 style="medium">
        <color indexed="12"/>
      </top>
      <bottom/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51">
    <xf numFmtId="0" fontId="0" fillId="0" borderId="0" xfId="0"/>
    <xf numFmtId="0" fontId="6" fillId="2" borderId="0" xfId="0" applyFont="1" applyFill="1" applyAlignment="1">
      <alignment horizontal="center"/>
    </xf>
    <xf numFmtId="0" fontId="7" fillId="0" borderId="0" xfId="0" applyFont="1"/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9" fillId="2" borderId="1" xfId="0" applyFont="1" applyFill="1" applyBorder="1" applyAlignment="1" applyProtection="1">
      <alignment horizontal="left" indent="1"/>
      <protection hidden="1"/>
    </xf>
    <xf numFmtId="0" fontId="5" fillId="2" borderId="2" xfId="0" applyFont="1" applyFill="1" applyBorder="1" applyAlignment="1" applyProtection="1">
      <alignment horizontal="left"/>
      <protection hidden="1"/>
    </xf>
    <xf numFmtId="0" fontId="5" fillId="2" borderId="3" xfId="0" applyFont="1" applyFill="1" applyBorder="1" applyProtection="1">
      <protection hidden="1"/>
    </xf>
    <xf numFmtId="0" fontId="5" fillId="2" borderId="4" xfId="0" applyFont="1" applyFill="1" applyBorder="1" applyProtection="1"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0" fontId="5" fillId="2" borderId="5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3" borderId="6" xfId="0" applyFont="1" applyFill="1" applyBorder="1" applyAlignment="1" applyProtection="1">
      <alignment horizontal="left" vertical="center" indent="1"/>
      <protection locked="0"/>
    </xf>
    <xf numFmtId="0" fontId="5" fillId="2" borderId="7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left"/>
      <protection hidden="1"/>
    </xf>
    <xf numFmtId="0" fontId="5" fillId="2" borderId="9" xfId="0" applyFont="1" applyFill="1" applyBorder="1" applyProtection="1">
      <protection hidden="1"/>
    </xf>
    <xf numFmtId="0" fontId="5" fillId="3" borderId="6" xfId="0" applyFont="1" applyFill="1" applyBorder="1" applyAlignment="1" applyProtection="1">
      <alignment horizontal="left" indent="1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 shrinkToFit="1"/>
      <protection hidden="1"/>
    </xf>
    <xf numFmtId="0" fontId="0" fillId="0" borderId="23" xfId="0" applyBorder="1" applyAlignment="1" applyProtection="1">
      <alignment horizontal="center" vertical="center" shrinkToFit="1"/>
      <protection hidden="1"/>
    </xf>
    <xf numFmtId="164" fontId="0" fillId="0" borderId="24" xfId="0" applyNumberFormat="1" applyBorder="1" applyAlignment="1" applyProtection="1">
      <alignment horizontal="center" vertical="center" shrinkToFit="1"/>
      <protection hidden="1"/>
    </xf>
    <xf numFmtId="0" fontId="0" fillId="0" borderId="25" xfId="0" applyBorder="1" applyAlignment="1" applyProtection="1">
      <alignment horizontal="right" vertical="center" shrinkToFit="1"/>
      <protection hidden="1"/>
    </xf>
    <xf numFmtId="0" fontId="0" fillId="0" borderId="24" xfId="0" applyBorder="1" applyAlignment="1" applyProtection="1">
      <alignment horizontal="left" vertical="center" shrinkToFit="1"/>
      <protection hidden="1"/>
    </xf>
    <xf numFmtId="0" fontId="0" fillId="0" borderId="26" xfId="0" applyBorder="1" applyAlignment="1" applyProtection="1">
      <alignment horizontal="right" vertical="center" shrinkToFit="1"/>
      <protection hidden="1"/>
    </xf>
    <xf numFmtId="0" fontId="0" fillId="0" borderId="27" xfId="0" applyBorder="1" applyAlignment="1" applyProtection="1">
      <alignment horizontal="center" vertical="center" shrinkToFit="1"/>
      <protection hidden="1"/>
    </xf>
    <xf numFmtId="0" fontId="0" fillId="0" borderId="28" xfId="0" applyBorder="1" applyAlignment="1" applyProtection="1">
      <alignment horizontal="center" vertical="center" shrinkToFit="1"/>
      <protection hidden="1"/>
    </xf>
    <xf numFmtId="164" fontId="0" fillId="0" borderId="29" xfId="0" applyNumberFormat="1" applyBorder="1" applyAlignment="1" applyProtection="1">
      <alignment horizontal="center" vertical="center" shrinkToFit="1"/>
      <protection hidden="1"/>
    </xf>
    <xf numFmtId="0" fontId="0" fillId="0" borderId="30" xfId="0" applyBorder="1" applyAlignment="1" applyProtection="1">
      <alignment horizontal="right" vertical="center" shrinkToFit="1"/>
      <protection hidden="1"/>
    </xf>
    <xf numFmtId="0" fontId="0" fillId="0" borderId="31" xfId="0" applyBorder="1" applyAlignment="1" applyProtection="1">
      <alignment horizontal="center" vertical="center" shrinkToFit="1"/>
      <protection hidden="1"/>
    </xf>
    <xf numFmtId="0" fontId="0" fillId="0" borderId="32" xfId="0" applyBorder="1" applyAlignment="1" applyProtection="1">
      <alignment horizontal="center" vertical="center" shrinkToFit="1"/>
      <protection hidden="1"/>
    </xf>
    <xf numFmtId="164" fontId="0" fillId="0" borderId="33" xfId="0" applyNumberFormat="1" applyBorder="1" applyAlignment="1" applyProtection="1">
      <alignment horizontal="center" vertical="center" shrinkToFit="1"/>
      <protection hidden="1"/>
    </xf>
    <xf numFmtId="0" fontId="0" fillId="0" borderId="34" xfId="0" applyBorder="1" applyAlignment="1" applyProtection="1">
      <alignment horizontal="right" vertical="center" shrinkToFit="1"/>
      <protection hidden="1"/>
    </xf>
    <xf numFmtId="0" fontId="0" fillId="0" borderId="29" xfId="0" applyBorder="1" applyAlignment="1" applyProtection="1">
      <alignment horizontal="left" vertical="center" shrinkToFit="1"/>
      <protection hidden="1"/>
    </xf>
    <xf numFmtId="0" fontId="0" fillId="0" borderId="35" xfId="0" applyBorder="1" applyAlignment="1" applyProtection="1">
      <alignment horizontal="right" vertical="center" shrinkToFit="1"/>
      <protection hidden="1"/>
    </xf>
    <xf numFmtId="0" fontId="0" fillId="0" borderId="33" xfId="0" applyBorder="1" applyAlignment="1" applyProtection="1">
      <alignment horizontal="left" vertical="center" shrinkToFit="1"/>
      <protection hidden="1"/>
    </xf>
    <xf numFmtId="0" fontId="0" fillId="0" borderId="36" xfId="0" applyBorder="1" applyAlignment="1" applyProtection="1">
      <alignment horizontal="right" vertical="center" shrinkToFit="1"/>
      <protection hidden="1"/>
    </xf>
    <xf numFmtId="0" fontId="0" fillId="0" borderId="37" xfId="0" applyBorder="1" applyAlignment="1" applyProtection="1">
      <alignment horizontal="center" vertical="center" shrinkToFit="1"/>
      <protection hidden="1"/>
    </xf>
    <xf numFmtId="0" fontId="0" fillId="0" borderId="38" xfId="0" applyBorder="1" applyAlignment="1" applyProtection="1">
      <alignment horizontal="center" vertical="center" shrinkToFit="1"/>
      <protection hidden="1"/>
    </xf>
    <xf numFmtId="164" fontId="0" fillId="0" borderId="39" xfId="0" applyNumberFormat="1" applyBorder="1" applyAlignment="1" applyProtection="1">
      <alignment horizontal="center" vertical="center" shrinkToFit="1"/>
      <protection hidden="1"/>
    </xf>
    <xf numFmtId="0" fontId="0" fillId="0" borderId="40" xfId="0" applyBorder="1" applyAlignment="1" applyProtection="1">
      <alignment horizontal="right" vertical="center" shrinkToFit="1"/>
      <protection hidden="1"/>
    </xf>
    <xf numFmtId="0" fontId="0" fillId="0" borderId="39" xfId="0" applyBorder="1" applyAlignment="1" applyProtection="1">
      <alignment horizontal="left" vertical="center" shrinkToFit="1"/>
      <protection hidden="1"/>
    </xf>
    <xf numFmtId="0" fontId="0" fillId="0" borderId="41" xfId="0" applyBorder="1" applyAlignment="1" applyProtection="1">
      <alignment horizontal="right" vertical="center" shrinkToFit="1"/>
      <protection hidden="1"/>
    </xf>
    <xf numFmtId="0" fontId="10" fillId="4" borderId="42" xfId="0" applyFont="1" applyFill="1" applyBorder="1" applyAlignment="1" applyProtection="1">
      <alignment horizontal="center" vertical="center" shrinkToFit="1"/>
      <protection hidden="1"/>
    </xf>
    <xf numFmtId="0" fontId="10" fillId="4" borderId="43" xfId="0" applyFont="1" applyFill="1" applyBorder="1" applyAlignment="1" applyProtection="1">
      <alignment horizontal="center" vertical="center" shrinkToFit="1"/>
      <protection hidden="1"/>
    </xf>
    <xf numFmtId="0" fontId="10" fillId="4" borderId="44" xfId="0" applyFont="1" applyFill="1" applyBorder="1" applyAlignment="1" applyProtection="1">
      <alignment horizontal="center" vertical="center" shrinkToFit="1"/>
      <protection hidden="1"/>
    </xf>
    <xf numFmtId="0" fontId="0" fillId="0" borderId="45" xfId="0" applyBorder="1" applyAlignment="1" applyProtection="1">
      <alignment vertical="center" shrinkToFit="1"/>
      <protection hidden="1"/>
    </xf>
    <xf numFmtId="0" fontId="0" fillId="0" borderId="46" xfId="0" applyBorder="1" applyAlignment="1" applyProtection="1">
      <alignment vertical="center" shrinkToFit="1"/>
      <protection hidden="1"/>
    </xf>
    <xf numFmtId="0" fontId="0" fillId="0" borderId="47" xfId="0" applyBorder="1" applyAlignment="1" applyProtection="1">
      <alignment vertical="center" shrinkToFit="1"/>
      <protection hidden="1"/>
    </xf>
    <xf numFmtId="0" fontId="0" fillId="0" borderId="0" xfId="0" applyAlignment="1" applyProtection="1">
      <alignment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48" xfId="0" applyBorder="1" applyAlignment="1" applyProtection="1">
      <alignment horizontal="center" vertical="center" shrinkToFit="1"/>
      <protection hidden="1"/>
    </xf>
    <xf numFmtId="0" fontId="0" fillId="0" borderId="49" xfId="0" applyBorder="1" applyAlignment="1" applyProtection="1">
      <alignment horizontal="center" vertical="center" shrinkToFit="1"/>
      <protection hidden="1"/>
    </xf>
    <xf numFmtId="0" fontId="0" fillId="0" borderId="50" xfId="0" applyBorder="1" applyAlignment="1" applyProtection="1">
      <alignment horizontal="center" vertical="center" shrinkToFit="1"/>
      <protection hidden="1"/>
    </xf>
    <xf numFmtId="0" fontId="0" fillId="0" borderId="51" xfId="0" applyBorder="1" applyAlignment="1" applyProtection="1">
      <alignment horizontal="center" vertical="center" shrinkToFit="1"/>
      <protection hidden="1"/>
    </xf>
    <xf numFmtId="0" fontId="0" fillId="0" borderId="52" xfId="0" applyBorder="1" applyAlignment="1" applyProtection="1">
      <alignment horizontal="center" vertical="center" shrinkToFit="1"/>
      <protection hidden="1"/>
    </xf>
    <xf numFmtId="0" fontId="0" fillId="0" borderId="53" xfId="0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7" fillId="0" borderId="0" xfId="0" applyFont="1" applyFill="1"/>
    <xf numFmtId="164" fontId="5" fillId="0" borderId="29" xfId="0" applyNumberFormat="1" applyFont="1" applyBorder="1" applyAlignment="1" applyProtection="1">
      <alignment horizontal="center" vertical="center" shrinkToFit="1"/>
      <protection hidden="1"/>
    </xf>
    <xf numFmtId="0" fontId="2" fillId="0" borderId="0" xfId="0" applyFont="1"/>
    <xf numFmtId="0" fontId="1" fillId="0" borderId="0" xfId="0" applyFont="1"/>
    <xf numFmtId="165" fontId="7" fillId="0" borderId="0" xfId="0" applyNumberFormat="1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165" fontId="5" fillId="0" borderId="0" xfId="0" applyNumberFormat="1" applyFont="1" applyAlignment="1" applyProtection="1">
      <alignment horizontal="left"/>
      <protection hidden="1"/>
    </xf>
    <xf numFmtId="165" fontId="15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165" fontId="2" fillId="0" borderId="0" xfId="0" quotePrefix="1" applyNumberFormat="1" applyFont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right" vertical="center" indent="3" shrinkToFit="1"/>
      <protection hidden="1"/>
    </xf>
    <xf numFmtId="0" fontId="0" fillId="0" borderId="40" xfId="0" applyBorder="1" applyAlignment="1" applyProtection="1">
      <alignment horizontal="right" vertical="center" indent="3" shrinkToFit="1"/>
      <protection hidden="1"/>
    </xf>
    <xf numFmtId="0" fontId="0" fillId="0" borderId="34" xfId="0" applyBorder="1" applyAlignment="1" applyProtection="1">
      <alignment horizontal="right" vertical="center" indent="3" shrinkToFit="1"/>
      <protection hidden="1"/>
    </xf>
    <xf numFmtId="0" fontId="0" fillId="0" borderId="29" xfId="0" applyBorder="1" applyAlignment="1" applyProtection="1">
      <alignment horizontal="left" vertical="center" indent="3" shrinkToFit="1"/>
      <protection hidden="1"/>
    </xf>
    <xf numFmtId="0" fontId="0" fillId="0" borderId="39" xfId="0" applyBorder="1" applyAlignment="1" applyProtection="1">
      <alignment horizontal="left" vertical="center" indent="3" shrinkToFit="1"/>
      <protection hidden="1"/>
    </xf>
    <xf numFmtId="0" fontId="0" fillId="0" borderId="33" xfId="0" applyBorder="1" applyAlignment="1" applyProtection="1">
      <alignment horizontal="left" vertical="center" indent="3" shrinkToFit="1"/>
      <protection hidden="1"/>
    </xf>
    <xf numFmtId="0" fontId="5" fillId="0" borderId="0" xfId="0" applyNumberFormat="1" applyFont="1" applyFill="1" applyAlignment="1" applyProtection="1">
      <alignment vertical="center"/>
      <protection hidden="1"/>
    </xf>
    <xf numFmtId="0" fontId="2" fillId="0" borderId="0" xfId="0" applyFont="1" applyFill="1"/>
    <xf numFmtId="0" fontId="2" fillId="0" borderId="0" xfId="0" applyNumberFormat="1" applyFont="1" applyAlignment="1" applyProtection="1">
      <alignment horizontal="left" vertical="center"/>
      <protection hidden="1"/>
    </xf>
    <xf numFmtId="0" fontId="5" fillId="0" borderId="0" xfId="0" applyNumberFormat="1" applyFont="1" applyProtection="1">
      <protection hidden="1"/>
    </xf>
    <xf numFmtId="0" fontId="7" fillId="0" borderId="0" xfId="0" applyNumberFormat="1" applyFont="1" applyAlignment="1" applyProtection="1">
      <alignment horizontal="left" vertical="center"/>
      <protection hidden="1"/>
    </xf>
    <xf numFmtId="0" fontId="15" fillId="0" borderId="0" xfId="0" applyNumberFormat="1" applyFont="1" applyProtection="1">
      <protection hidden="1"/>
    </xf>
    <xf numFmtId="0" fontId="7" fillId="0" borderId="0" xfId="0" applyNumberFormat="1" applyFont="1" applyAlignment="1" applyProtection="1">
      <alignment vertical="center"/>
      <protection hidden="1"/>
    </xf>
    <xf numFmtId="0" fontId="2" fillId="0" borderId="0" xfId="0" applyNumberFormat="1" applyFont="1" applyAlignment="1" applyProtection="1">
      <alignment vertical="center"/>
      <protection hidden="1"/>
    </xf>
    <xf numFmtId="0" fontId="5" fillId="0" borderId="35" xfId="0" applyFont="1" applyBorder="1" applyAlignment="1" applyProtection="1">
      <alignment horizontal="right" vertical="center" shrinkToFit="1"/>
      <protection hidden="1"/>
    </xf>
    <xf numFmtId="0" fontId="5" fillId="0" borderId="41" xfId="0" applyFont="1" applyBorder="1" applyAlignment="1" applyProtection="1">
      <alignment horizontal="right" vertical="center" shrinkToFit="1"/>
      <protection hidden="1"/>
    </xf>
    <xf numFmtId="0" fontId="5" fillId="0" borderId="29" xfId="0" applyNumberFormat="1" applyFont="1" applyBorder="1" applyAlignment="1" applyProtection="1">
      <alignment horizontal="left" vertical="center" shrinkToFit="1"/>
      <protection hidden="1"/>
    </xf>
    <xf numFmtId="0" fontId="5" fillId="0" borderId="33" xfId="0" applyNumberFormat="1" applyFont="1" applyBorder="1" applyAlignment="1" applyProtection="1">
      <alignment horizontal="left" vertical="center" shrinkToFit="1"/>
      <protection hidden="1"/>
    </xf>
    <xf numFmtId="0" fontId="7" fillId="5" borderId="0" xfId="0" applyFont="1" applyFill="1"/>
    <xf numFmtId="0" fontId="0" fillId="0" borderId="40" xfId="0" applyFill="1" applyBorder="1" applyAlignment="1" applyProtection="1">
      <alignment horizontal="right" vertical="center" indent="3" shrinkToFit="1"/>
      <protection hidden="1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0" fillId="0" borderId="39" xfId="0" applyFill="1" applyBorder="1" applyAlignment="1" applyProtection="1">
      <alignment horizontal="left" vertical="center" indent="3" shrinkToFit="1"/>
      <protection hidden="1"/>
    </xf>
    <xf numFmtId="164" fontId="20" fillId="0" borderId="29" xfId="0" applyNumberFormat="1" applyFont="1" applyBorder="1" applyAlignment="1" applyProtection="1">
      <alignment horizontal="center" vertical="center" shrinkToFit="1"/>
      <protection hidden="1"/>
    </xf>
    <xf numFmtId="165" fontId="7" fillId="0" borderId="0" xfId="0" quotePrefix="1" applyNumberFormat="1" applyFont="1" applyAlignment="1" applyProtection="1">
      <alignment horizontal="left" vertical="center"/>
      <protection hidden="1"/>
    </xf>
    <xf numFmtId="165" fontId="21" fillId="0" borderId="0" xfId="0" applyNumberFormat="1" applyFont="1" applyFill="1" applyBorder="1" applyAlignment="1" applyProtection="1">
      <alignment horizontal="center" vertical="center"/>
      <protection hidden="1"/>
    </xf>
    <xf numFmtId="165" fontId="21" fillId="0" borderId="0" xfId="0" applyNumberFormat="1" applyFont="1" applyFill="1" applyBorder="1" applyAlignment="1" applyProtection="1">
      <alignment vertical="center"/>
      <protection hidden="1"/>
    </xf>
    <xf numFmtId="165" fontId="22" fillId="0" borderId="0" xfId="0" applyNumberFormat="1" applyFont="1" applyFill="1" applyBorder="1" applyAlignment="1" applyProtection="1">
      <alignment horizontal="center" vertical="center"/>
      <protection hidden="1"/>
    </xf>
    <xf numFmtId="165" fontId="21" fillId="0" borderId="0" xfId="0" applyNumberFormat="1" applyFont="1" applyFill="1" applyBorder="1" applyAlignment="1" applyProtection="1">
      <alignment horizontal="left" vertical="center"/>
      <protection hidden="1"/>
    </xf>
    <xf numFmtId="0" fontId="8" fillId="4" borderId="54" xfId="0" applyFont="1" applyFill="1" applyBorder="1" applyAlignment="1" applyProtection="1">
      <alignment horizontal="center" vertical="center"/>
      <protection hidden="1"/>
    </xf>
    <xf numFmtId="0" fontId="8" fillId="4" borderId="55" xfId="0" applyFont="1" applyFill="1" applyBorder="1" applyAlignment="1" applyProtection="1">
      <alignment horizontal="center" vertical="center"/>
      <protection hidden="1"/>
    </xf>
    <xf numFmtId="0" fontId="8" fillId="4" borderId="56" xfId="0" applyFont="1" applyFill="1" applyBorder="1" applyAlignment="1" applyProtection="1">
      <alignment horizontal="center" vertical="center"/>
      <protection hidden="1"/>
    </xf>
    <xf numFmtId="0" fontId="8" fillId="4" borderId="57" xfId="0" applyFont="1" applyFill="1" applyBorder="1" applyAlignment="1" applyProtection="1">
      <alignment horizontal="center" vertical="center"/>
      <protection hidden="1"/>
    </xf>
    <xf numFmtId="0" fontId="8" fillId="4" borderId="58" xfId="0" applyFont="1" applyFill="1" applyBorder="1" applyAlignment="1" applyProtection="1">
      <alignment horizontal="center" vertical="center"/>
      <protection hidden="1"/>
    </xf>
    <xf numFmtId="0" fontId="8" fillId="4" borderId="59" xfId="0" applyFont="1" applyFill="1" applyBorder="1" applyAlignment="1" applyProtection="1">
      <alignment horizontal="center" vertical="center"/>
      <protection hidden="1"/>
    </xf>
    <xf numFmtId="0" fontId="3" fillId="0" borderId="60" xfId="0" applyFont="1" applyBorder="1" applyAlignment="1" applyProtection="1">
      <alignment horizontal="center" vertical="center" shrinkToFit="1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12" fillId="0" borderId="60" xfId="0" applyFont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 vertical="center" shrinkToFit="1"/>
      <protection hidden="1"/>
    </xf>
    <xf numFmtId="0" fontId="0" fillId="6" borderId="62" xfId="0" applyFill="1" applyBorder="1" applyAlignment="1">
      <alignment horizontal="center" vertical="center"/>
    </xf>
    <xf numFmtId="0" fontId="0" fillId="6" borderId="63" xfId="0" applyFill="1" applyBorder="1" applyAlignment="1">
      <alignment horizontal="center" vertical="center"/>
    </xf>
    <xf numFmtId="0" fontId="0" fillId="6" borderId="67" xfId="0" applyFill="1" applyBorder="1" applyAlignment="1">
      <alignment horizontal="center" vertical="center"/>
    </xf>
    <xf numFmtId="0" fontId="0" fillId="6" borderId="68" xfId="0" applyFill="1" applyBorder="1" applyAlignment="1">
      <alignment horizontal="center" vertical="center"/>
    </xf>
    <xf numFmtId="0" fontId="0" fillId="6" borderId="64" xfId="0" applyFill="1" applyBorder="1" applyAlignment="1">
      <alignment horizontal="center" vertical="center"/>
    </xf>
    <xf numFmtId="0" fontId="0" fillId="6" borderId="65" xfId="0" applyFill="1" applyBorder="1" applyAlignment="1">
      <alignment horizontal="center" vertical="center"/>
    </xf>
    <xf numFmtId="0" fontId="0" fillId="6" borderId="66" xfId="0" applyFill="1" applyBorder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 shrinkToFit="1"/>
      <protection hidden="1"/>
    </xf>
    <xf numFmtId="0" fontId="16" fillId="6" borderId="61" xfId="1" applyFont="1" applyFill="1" applyBorder="1" applyAlignment="1" applyProtection="1">
      <alignment horizontal="center" vertical="center" shrinkToFit="1"/>
      <protection hidden="1"/>
    </xf>
    <xf numFmtId="0" fontId="16" fillId="6" borderId="62" xfId="1" applyFont="1" applyFill="1" applyBorder="1" applyAlignment="1" applyProtection="1">
      <alignment horizontal="center" vertical="center" shrinkToFit="1"/>
      <protection hidden="1"/>
    </xf>
    <xf numFmtId="0" fontId="16" fillId="6" borderId="63" xfId="1" applyFont="1" applyFill="1" applyBorder="1" applyAlignment="1" applyProtection="1">
      <alignment horizontal="center" vertical="center" shrinkToFit="1"/>
      <protection hidden="1"/>
    </xf>
    <xf numFmtId="0" fontId="16" fillId="6" borderId="64" xfId="1" applyFont="1" applyFill="1" applyBorder="1" applyAlignment="1" applyProtection="1">
      <alignment horizontal="center" vertical="center" shrinkToFit="1"/>
      <protection hidden="1"/>
    </xf>
    <xf numFmtId="0" fontId="16" fillId="6" borderId="65" xfId="1" applyFont="1" applyFill="1" applyBorder="1" applyAlignment="1" applyProtection="1">
      <alignment horizontal="center" vertical="center" shrinkToFit="1"/>
      <protection hidden="1"/>
    </xf>
    <xf numFmtId="0" fontId="16" fillId="6" borderId="66" xfId="1" applyFont="1" applyFill="1" applyBorder="1" applyAlignment="1" applyProtection="1">
      <alignment horizontal="center" vertical="center" shrinkToFit="1"/>
      <protection hidden="1"/>
    </xf>
    <xf numFmtId="0" fontId="14" fillId="0" borderId="0" xfId="1" applyFont="1" applyAlignment="1" applyProtection="1">
      <alignment horizontal="right"/>
      <protection hidden="1"/>
    </xf>
    <xf numFmtId="0" fontId="3" fillId="6" borderId="61" xfId="0" applyFont="1" applyFill="1" applyBorder="1" applyAlignment="1" applyProtection="1">
      <alignment horizontal="center" vertical="center" wrapText="1"/>
      <protection hidden="1"/>
    </xf>
    <xf numFmtId="0" fontId="3" fillId="6" borderId="62" xfId="0" applyFont="1" applyFill="1" applyBorder="1" applyAlignment="1" applyProtection="1">
      <alignment horizontal="center" vertical="center" wrapText="1"/>
      <protection hidden="1"/>
    </xf>
    <xf numFmtId="0" fontId="3" fillId="6" borderId="63" xfId="0" applyFont="1" applyFill="1" applyBorder="1" applyAlignment="1" applyProtection="1">
      <alignment horizontal="center" vertical="center" wrapText="1"/>
      <protection hidden="1"/>
    </xf>
    <xf numFmtId="0" fontId="3" fillId="6" borderId="67" xfId="0" applyFont="1" applyFill="1" applyBorder="1" applyAlignment="1" applyProtection="1">
      <alignment horizontal="center" vertical="center" wrapText="1"/>
      <protection hidden="1"/>
    </xf>
    <xf numFmtId="0" fontId="3" fillId="6" borderId="0" xfId="0" applyFont="1" applyFill="1" applyBorder="1" applyAlignment="1" applyProtection="1">
      <alignment horizontal="center" vertical="center" wrapText="1"/>
      <protection hidden="1"/>
    </xf>
    <xf numFmtId="0" fontId="3" fillId="6" borderId="68" xfId="0" applyFont="1" applyFill="1" applyBorder="1" applyAlignment="1" applyProtection="1">
      <alignment horizontal="center" vertical="center" wrapText="1"/>
      <protection hidden="1"/>
    </xf>
    <xf numFmtId="0" fontId="3" fillId="6" borderId="64" xfId="0" applyFont="1" applyFill="1" applyBorder="1" applyAlignment="1" applyProtection="1">
      <alignment horizontal="center" vertical="center" wrapText="1"/>
      <protection hidden="1"/>
    </xf>
    <xf numFmtId="0" fontId="3" fillId="6" borderId="65" xfId="0" applyFont="1" applyFill="1" applyBorder="1" applyAlignment="1" applyProtection="1">
      <alignment horizontal="center" vertical="center" wrapText="1"/>
      <protection hidden="1"/>
    </xf>
    <xf numFmtId="0" fontId="3" fillId="6" borderId="66" xfId="0" applyFont="1" applyFill="1" applyBorder="1" applyAlignment="1" applyProtection="1">
      <alignment horizontal="center" vertical="center" wrapText="1"/>
      <protection hidden="1"/>
    </xf>
    <xf numFmtId="0" fontId="0" fillId="6" borderId="0" xfId="0" applyFill="1" applyAlignment="1">
      <alignment horizontal="center" vertical="center"/>
    </xf>
    <xf numFmtId="0" fontId="23" fillId="6" borderId="6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75"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ill>
        <patternFill>
          <bgColor rgb="FFCCFFCC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17"/>
      </font>
    </dxf>
    <dxf>
      <font>
        <b val="0"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1191040</xdr:colOff>
      <xdr:row>23</xdr:row>
      <xdr:rowOff>27333</xdr:rowOff>
    </xdr:from>
    <xdr:to>
      <xdr:col>3</xdr:col>
      <xdr:colOff>1400590</xdr:colOff>
      <xdr:row>23</xdr:row>
      <xdr:rowOff>141633</xdr:rowOff>
    </xdr:to>
    <xdr:pic>
      <xdr:nvPicPr>
        <xdr:cNvPr id="29195" name="Picture 68" descr="usa">
          <a:extLst>
            <a:ext uri="{FF2B5EF4-FFF2-40B4-BE49-F238E27FC236}">
              <a16:creationId xmlns:a16="http://schemas.microsoft.com/office/drawing/2014/main" id="{C35839BC-C071-4153-A0FC-A7FF35D91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9279" y="4023692"/>
          <a:ext cx="2095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1186483</xdr:colOff>
      <xdr:row>24</xdr:row>
      <xdr:rowOff>19049</xdr:rowOff>
    </xdr:from>
    <xdr:to>
      <xdr:col>3</xdr:col>
      <xdr:colOff>1396033</xdr:colOff>
      <xdr:row>24</xdr:row>
      <xdr:rowOff>142874</xdr:rowOff>
    </xdr:to>
    <xdr:pic>
      <xdr:nvPicPr>
        <xdr:cNvPr id="29196" name="Picture 69" descr="deu">
          <a:extLst>
            <a:ext uri="{FF2B5EF4-FFF2-40B4-BE49-F238E27FC236}">
              <a16:creationId xmlns:a16="http://schemas.microsoft.com/office/drawing/2014/main" id="{CA8FEF02-11E6-42BF-BFEC-E265B5170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4722" y="4176919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1190626</xdr:colOff>
      <xdr:row>10</xdr:row>
      <xdr:rowOff>19050</xdr:rowOff>
    </xdr:from>
    <xdr:to>
      <xdr:col>3</xdr:col>
      <xdr:colOff>1400176</xdr:colOff>
      <xdr:row>10</xdr:row>
      <xdr:rowOff>142875</xdr:rowOff>
    </xdr:to>
    <xdr:pic>
      <xdr:nvPicPr>
        <xdr:cNvPr id="29197" name="Picture 70" descr="deu">
          <a:extLst>
            <a:ext uri="{FF2B5EF4-FFF2-40B4-BE49-F238E27FC236}">
              <a16:creationId xmlns:a16="http://schemas.microsoft.com/office/drawing/2014/main" id="{A4151240-999E-4BCF-AFC0-59CD6BC8C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865" y="1915767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23191</xdr:colOff>
      <xdr:row>6</xdr:row>
      <xdr:rowOff>23191</xdr:rowOff>
    </xdr:from>
    <xdr:to>
      <xdr:col>7</xdr:col>
      <xdr:colOff>232741</xdr:colOff>
      <xdr:row>6</xdr:row>
      <xdr:rowOff>147016</xdr:rowOff>
    </xdr:to>
    <xdr:pic>
      <xdr:nvPicPr>
        <xdr:cNvPr id="29198" name="Picture 71" descr="deu">
          <a:extLst>
            <a:ext uri="{FF2B5EF4-FFF2-40B4-BE49-F238E27FC236}">
              <a16:creationId xmlns:a16="http://schemas.microsoft.com/office/drawing/2014/main" id="{6B71E32B-23F6-480D-A6A1-B6A98DAD8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148" y="1273865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23191</xdr:colOff>
      <xdr:row>22</xdr:row>
      <xdr:rowOff>29817</xdr:rowOff>
    </xdr:from>
    <xdr:to>
      <xdr:col>7</xdr:col>
      <xdr:colOff>232741</xdr:colOff>
      <xdr:row>22</xdr:row>
      <xdr:rowOff>134592</xdr:rowOff>
    </xdr:to>
    <xdr:pic>
      <xdr:nvPicPr>
        <xdr:cNvPr id="29199" name="Picture 72" descr="can">
          <a:extLst>
            <a:ext uri="{FF2B5EF4-FFF2-40B4-BE49-F238E27FC236}">
              <a16:creationId xmlns:a16="http://schemas.microsoft.com/office/drawing/2014/main" id="{353452BD-5D15-4A93-8FDE-56ADA21E1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148" y="3864665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1191868</xdr:colOff>
      <xdr:row>18</xdr:row>
      <xdr:rowOff>28576</xdr:rowOff>
    </xdr:from>
    <xdr:to>
      <xdr:col>3</xdr:col>
      <xdr:colOff>1401418</xdr:colOff>
      <xdr:row>18</xdr:row>
      <xdr:rowOff>133351</xdr:rowOff>
    </xdr:to>
    <xdr:pic>
      <xdr:nvPicPr>
        <xdr:cNvPr id="29200" name="Picture 73" descr="can">
          <a:extLst>
            <a:ext uri="{FF2B5EF4-FFF2-40B4-BE49-F238E27FC236}">
              <a16:creationId xmlns:a16="http://schemas.microsoft.com/office/drawing/2014/main" id="{8B2CFD12-6BA6-40AB-9FCA-74E3BD97A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0107" y="3217380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1174474</xdr:colOff>
      <xdr:row>6</xdr:row>
      <xdr:rowOff>29818</xdr:rowOff>
    </xdr:from>
    <xdr:to>
      <xdr:col>3</xdr:col>
      <xdr:colOff>1384024</xdr:colOff>
      <xdr:row>6</xdr:row>
      <xdr:rowOff>134593</xdr:rowOff>
    </xdr:to>
    <xdr:pic>
      <xdr:nvPicPr>
        <xdr:cNvPr id="29201" name="Picture 74" descr="can">
          <a:extLst>
            <a:ext uri="{FF2B5EF4-FFF2-40B4-BE49-F238E27FC236}">
              <a16:creationId xmlns:a16="http://schemas.microsoft.com/office/drawing/2014/main" id="{FDFF613B-AA87-4DFE-BD16-AB3241953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2713" y="1280492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</xdr:colOff>
      <xdr:row>25</xdr:row>
      <xdr:rowOff>23192</xdr:rowOff>
    </xdr:from>
    <xdr:to>
      <xdr:col>7</xdr:col>
      <xdr:colOff>228600</xdr:colOff>
      <xdr:row>25</xdr:row>
      <xdr:rowOff>147017</xdr:rowOff>
    </xdr:to>
    <xdr:pic>
      <xdr:nvPicPr>
        <xdr:cNvPr id="29202" name="Picture 78" descr="fin">
          <a:extLst>
            <a:ext uri="{FF2B5EF4-FFF2-40B4-BE49-F238E27FC236}">
              <a16:creationId xmlns:a16="http://schemas.microsoft.com/office/drawing/2014/main" id="{C753D856-B834-44E8-9637-3EACB0AA5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5007" y="4342572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1200150</xdr:colOff>
      <xdr:row>21</xdr:row>
      <xdr:rowOff>28575</xdr:rowOff>
    </xdr:from>
    <xdr:to>
      <xdr:col>3</xdr:col>
      <xdr:colOff>1409700</xdr:colOff>
      <xdr:row>21</xdr:row>
      <xdr:rowOff>152400</xdr:rowOff>
    </xdr:to>
    <xdr:pic>
      <xdr:nvPicPr>
        <xdr:cNvPr id="29203" name="Picture 79" descr="fin">
          <a:extLst>
            <a:ext uri="{FF2B5EF4-FFF2-40B4-BE49-F238E27FC236}">
              <a16:creationId xmlns:a16="http://schemas.microsoft.com/office/drawing/2014/main" id="{37E4EE71-1D95-4A77-9B22-D8DA91B61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3705225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1186483</xdr:colOff>
      <xdr:row>7</xdr:row>
      <xdr:rowOff>20291</xdr:rowOff>
    </xdr:from>
    <xdr:to>
      <xdr:col>3</xdr:col>
      <xdr:colOff>1396033</xdr:colOff>
      <xdr:row>7</xdr:row>
      <xdr:rowOff>144116</xdr:rowOff>
    </xdr:to>
    <xdr:pic>
      <xdr:nvPicPr>
        <xdr:cNvPr id="29204" name="Picture 80" descr="fin">
          <a:extLst>
            <a:ext uri="{FF2B5EF4-FFF2-40B4-BE49-F238E27FC236}">
              <a16:creationId xmlns:a16="http://schemas.microsoft.com/office/drawing/2014/main" id="{B7855808-5C97-4D58-B5E6-3D535499D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4722" y="1432476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20293</xdr:colOff>
      <xdr:row>12</xdr:row>
      <xdr:rowOff>14909</xdr:rowOff>
    </xdr:from>
    <xdr:to>
      <xdr:col>7</xdr:col>
      <xdr:colOff>220318</xdr:colOff>
      <xdr:row>12</xdr:row>
      <xdr:rowOff>148259</xdr:rowOff>
    </xdr:to>
    <xdr:pic>
      <xdr:nvPicPr>
        <xdr:cNvPr id="29205" name="Picture 81" descr="dnk">
          <a:extLst>
            <a:ext uri="{FF2B5EF4-FFF2-40B4-BE49-F238E27FC236}">
              <a16:creationId xmlns:a16="http://schemas.microsoft.com/office/drawing/2014/main" id="{032022E1-9137-43F3-8A2D-39949EFDC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250" y="2234648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1233281</xdr:colOff>
      <xdr:row>15</xdr:row>
      <xdr:rowOff>9524</xdr:rowOff>
    </xdr:from>
    <xdr:to>
      <xdr:col>3</xdr:col>
      <xdr:colOff>1376156</xdr:colOff>
      <xdr:row>15</xdr:row>
      <xdr:rowOff>152399</xdr:rowOff>
    </xdr:to>
    <xdr:pic>
      <xdr:nvPicPr>
        <xdr:cNvPr id="29206" name="Picture 84" descr="che">
          <a:extLst>
            <a:ext uri="{FF2B5EF4-FFF2-40B4-BE49-F238E27FC236}">
              <a16:creationId xmlns:a16="http://schemas.microsoft.com/office/drawing/2014/main" id="{CA6C0EF5-8060-430E-ABC0-6AB315591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1520" y="2713796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27332</xdr:colOff>
      <xdr:row>29</xdr:row>
      <xdr:rowOff>28575</xdr:rowOff>
    </xdr:from>
    <xdr:to>
      <xdr:col>7</xdr:col>
      <xdr:colOff>227357</xdr:colOff>
      <xdr:row>29</xdr:row>
      <xdr:rowOff>133350</xdr:rowOff>
    </xdr:to>
    <xdr:pic>
      <xdr:nvPicPr>
        <xdr:cNvPr id="29207" name="Picture 87" descr="lva">
          <a:extLst>
            <a:ext uri="{FF2B5EF4-FFF2-40B4-BE49-F238E27FC236}">
              <a16:creationId xmlns:a16="http://schemas.microsoft.com/office/drawing/2014/main" id="{CE06DF51-4235-4608-98C5-D819CB5860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3289" y="4993999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1198907</xdr:colOff>
      <xdr:row>14</xdr:row>
      <xdr:rowOff>33959</xdr:rowOff>
    </xdr:from>
    <xdr:to>
      <xdr:col>3</xdr:col>
      <xdr:colOff>1408457</xdr:colOff>
      <xdr:row>14</xdr:row>
      <xdr:rowOff>138734</xdr:rowOff>
    </xdr:to>
    <xdr:pic>
      <xdr:nvPicPr>
        <xdr:cNvPr id="29208" name="Picture 90" descr="blr">
          <a:extLst>
            <a:ext uri="{FF2B5EF4-FFF2-40B4-BE49-F238E27FC236}">
              <a16:creationId xmlns:a16="http://schemas.microsoft.com/office/drawing/2014/main" id="{F4DAD153-F69F-4B22-A1EF-F666395E0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146" y="2576720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1200150</xdr:colOff>
      <xdr:row>22</xdr:row>
      <xdr:rowOff>17807</xdr:rowOff>
    </xdr:from>
    <xdr:to>
      <xdr:col>3</xdr:col>
      <xdr:colOff>1400175</xdr:colOff>
      <xdr:row>22</xdr:row>
      <xdr:rowOff>151157</xdr:rowOff>
    </xdr:to>
    <xdr:pic>
      <xdr:nvPicPr>
        <xdr:cNvPr id="29209" name="Picture 96" descr="cze">
          <a:extLst>
            <a:ext uri="{FF2B5EF4-FFF2-40B4-BE49-F238E27FC236}">
              <a16:creationId xmlns:a16="http://schemas.microsoft.com/office/drawing/2014/main" id="{7C0A12A3-0048-41EB-82C9-13578E883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8389" y="385265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28160</xdr:colOff>
      <xdr:row>28</xdr:row>
      <xdr:rowOff>9525</xdr:rowOff>
    </xdr:from>
    <xdr:to>
      <xdr:col>7</xdr:col>
      <xdr:colOff>237710</xdr:colOff>
      <xdr:row>28</xdr:row>
      <xdr:rowOff>152400</xdr:rowOff>
    </xdr:to>
    <xdr:pic>
      <xdr:nvPicPr>
        <xdr:cNvPr id="29210" name="Picture 102" descr="svk">
          <a:extLst>
            <a:ext uri="{FF2B5EF4-FFF2-40B4-BE49-F238E27FC236}">
              <a16:creationId xmlns:a16="http://schemas.microsoft.com/office/drawing/2014/main" id="{9B70244C-D9E3-4EF3-9538-84F89571A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4117" y="4813438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32716</xdr:colOff>
      <xdr:row>36</xdr:row>
      <xdr:rowOff>21949</xdr:rowOff>
    </xdr:from>
    <xdr:to>
      <xdr:col>7</xdr:col>
      <xdr:colOff>232741</xdr:colOff>
      <xdr:row>36</xdr:row>
      <xdr:rowOff>155299</xdr:rowOff>
    </xdr:to>
    <xdr:pic>
      <xdr:nvPicPr>
        <xdr:cNvPr id="29211" name="Picture 103" descr="svk">
          <a:extLst>
            <a:ext uri="{FF2B5EF4-FFF2-40B4-BE49-F238E27FC236}">
              <a16:creationId xmlns:a16="http://schemas.microsoft.com/office/drawing/2014/main" id="{AA9721BA-F632-4621-AFC4-9F1CBEC08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8673" y="6117949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1196424</xdr:colOff>
      <xdr:row>9</xdr:row>
      <xdr:rowOff>12424</xdr:rowOff>
    </xdr:from>
    <xdr:to>
      <xdr:col>3</xdr:col>
      <xdr:colOff>1405974</xdr:colOff>
      <xdr:row>9</xdr:row>
      <xdr:rowOff>155299</xdr:rowOff>
    </xdr:to>
    <xdr:pic>
      <xdr:nvPicPr>
        <xdr:cNvPr id="29212" name="Picture 105" descr="rus">
          <a:extLst>
            <a:ext uri="{FF2B5EF4-FFF2-40B4-BE49-F238E27FC236}">
              <a16:creationId xmlns:a16="http://schemas.microsoft.com/office/drawing/2014/main" id="{5C466EBA-3B22-4049-929E-4F376A3046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4663" y="1747631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1203904</xdr:colOff>
      <xdr:row>17</xdr:row>
      <xdr:rowOff>21949</xdr:rowOff>
    </xdr:from>
    <xdr:to>
      <xdr:col>3</xdr:col>
      <xdr:colOff>1396447</xdr:colOff>
      <xdr:row>17</xdr:row>
      <xdr:rowOff>153228</xdr:rowOff>
    </xdr:to>
    <xdr:pic>
      <xdr:nvPicPr>
        <xdr:cNvPr id="29213" name="Picture 106" descr="rus">
          <a:extLst>
            <a:ext uri="{FF2B5EF4-FFF2-40B4-BE49-F238E27FC236}">
              <a16:creationId xmlns:a16="http://schemas.microsoft.com/office/drawing/2014/main" id="{4A8EDB15-4B39-4633-8DC1-B64102046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2143" y="3049242"/>
          <a:ext cx="192543" cy="131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1188141</xdr:colOff>
      <xdr:row>48</xdr:row>
      <xdr:rowOff>19050</xdr:rowOff>
    </xdr:from>
    <xdr:to>
      <xdr:col>3</xdr:col>
      <xdr:colOff>1397691</xdr:colOff>
      <xdr:row>48</xdr:row>
      <xdr:rowOff>152400</xdr:rowOff>
    </xdr:to>
    <xdr:pic>
      <xdr:nvPicPr>
        <xdr:cNvPr id="29214" name="Picture 108" descr="swe">
          <a:extLst>
            <a:ext uri="{FF2B5EF4-FFF2-40B4-BE49-F238E27FC236}">
              <a16:creationId xmlns:a16="http://schemas.microsoft.com/office/drawing/2014/main" id="{F4917698-B3DD-4A51-8732-1F482C187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380" y="8053180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1190625</xdr:colOff>
      <xdr:row>20</xdr:row>
      <xdr:rowOff>9525</xdr:rowOff>
    </xdr:from>
    <xdr:to>
      <xdr:col>3</xdr:col>
      <xdr:colOff>1400175</xdr:colOff>
      <xdr:row>20</xdr:row>
      <xdr:rowOff>142875</xdr:rowOff>
    </xdr:to>
    <xdr:pic>
      <xdr:nvPicPr>
        <xdr:cNvPr id="29215" name="Picture 109" descr="swe">
          <a:extLst>
            <a:ext uri="{FF2B5EF4-FFF2-40B4-BE49-F238E27FC236}">
              <a16:creationId xmlns:a16="http://schemas.microsoft.com/office/drawing/2014/main" id="{D44CFCBE-E66E-4681-BD03-B7F3C2151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3524250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1190625</xdr:colOff>
      <xdr:row>8</xdr:row>
      <xdr:rowOff>21949</xdr:rowOff>
    </xdr:from>
    <xdr:to>
      <xdr:col>3</xdr:col>
      <xdr:colOff>1400175</xdr:colOff>
      <xdr:row>8</xdr:row>
      <xdr:rowOff>155299</xdr:rowOff>
    </xdr:to>
    <xdr:pic>
      <xdr:nvPicPr>
        <xdr:cNvPr id="29216" name="Picture 110" descr="swe">
          <a:extLst>
            <a:ext uri="{FF2B5EF4-FFF2-40B4-BE49-F238E27FC236}">
              <a16:creationId xmlns:a16="http://schemas.microsoft.com/office/drawing/2014/main" id="{B08A798B-A913-48E0-9C53-6FFF20DC5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864" y="1595645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24434</xdr:colOff>
      <xdr:row>26</xdr:row>
      <xdr:rowOff>10768</xdr:rowOff>
    </xdr:from>
    <xdr:to>
      <xdr:col>7</xdr:col>
      <xdr:colOff>224459</xdr:colOff>
      <xdr:row>26</xdr:row>
      <xdr:rowOff>144118</xdr:rowOff>
    </xdr:to>
    <xdr:pic>
      <xdr:nvPicPr>
        <xdr:cNvPr id="29217" name="Picture 115" descr="dnk">
          <a:extLst>
            <a:ext uri="{FF2B5EF4-FFF2-40B4-BE49-F238E27FC236}">
              <a16:creationId xmlns:a16="http://schemas.microsoft.com/office/drawing/2014/main" id="{E46FB0D6-1234-4A47-8DCD-BE6F37059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0391" y="4491659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</xdr:colOff>
      <xdr:row>18</xdr:row>
      <xdr:rowOff>9525</xdr:rowOff>
    </xdr:from>
    <xdr:to>
      <xdr:col>7</xdr:col>
      <xdr:colOff>219075</xdr:colOff>
      <xdr:row>18</xdr:row>
      <xdr:rowOff>142875</xdr:rowOff>
    </xdr:to>
    <xdr:pic>
      <xdr:nvPicPr>
        <xdr:cNvPr id="29218" name="Picture 116" descr="dnk">
          <a:extLst>
            <a:ext uri="{FF2B5EF4-FFF2-40B4-BE49-F238E27FC236}">
              <a16:creationId xmlns:a16="http://schemas.microsoft.com/office/drawing/2014/main" id="{5F92534F-C1A5-4F4F-9649-F27E08079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200400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23191</xdr:colOff>
      <xdr:row>19</xdr:row>
      <xdr:rowOff>32716</xdr:rowOff>
    </xdr:from>
    <xdr:to>
      <xdr:col>7</xdr:col>
      <xdr:colOff>223216</xdr:colOff>
      <xdr:row>19</xdr:row>
      <xdr:rowOff>137491</xdr:rowOff>
    </xdr:to>
    <xdr:pic>
      <xdr:nvPicPr>
        <xdr:cNvPr id="29219" name="Picture 117" descr="lva">
          <a:extLst>
            <a:ext uri="{FF2B5EF4-FFF2-40B4-BE49-F238E27FC236}">
              <a16:creationId xmlns:a16="http://schemas.microsoft.com/office/drawing/2014/main" id="{AB03B100-9547-414B-83CC-4741A7B09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148" y="3383031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1188141</xdr:colOff>
      <xdr:row>13</xdr:row>
      <xdr:rowOff>29817</xdr:rowOff>
    </xdr:from>
    <xdr:to>
      <xdr:col>3</xdr:col>
      <xdr:colOff>1388166</xdr:colOff>
      <xdr:row>13</xdr:row>
      <xdr:rowOff>134592</xdr:rowOff>
    </xdr:to>
    <xdr:pic>
      <xdr:nvPicPr>
        <xdr:cNvPr id="29220" name="Picture 118" descr="lva">
          <a:extLst>
            <a:ext uri="{FF2B5EF4-FFF2-40B4-BE49-F238E27FC236}">
              <a16:creationId xmlns:a16="http://schemas.microsoft.com/office/drawing/2014/main" id="{CF726FDA-B0E0-46EB-812A-8C24C0577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380" y="2411067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28160</xdr:colOff>
      <xdr:row>20</xdr:row>
      <xdr:rowOff>32716</xdr:rowOff>
    </xdr:from>
    <xdr:to>
      <xdr:col>7</xdr:col>
      <xdr:colOff>237710</xdr:colOff>
      <xdr:row>20</xdr:row>
      <xdr:rowOff>137491</xdr:rowOff>
    </xdr:to>
    <xdr:pic>
      <xdr:nvPicPr>
        <xdr:cNvPr id="29221" name="Picture 119" descr="blr">
          <a:extLst>
            <a:ext uri="{FF2B5EF4-FFF2-40B4-BE49-F238E27FC236}">
              <a16:creationId xmlns:a16="http://schemas.microsoft.com/office/drawing/2014/main" id="{2AFD9F58-560F-45FD-92CF-1E848C93C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4117" y="3544542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1191040</xdr:colOff>
      <xdr:row>28</xdr:row>
      <xdr:rowOff>24434</xdr:rowOff>
    </xdr:from>
    <xdr:to>
      <xdr:col>3</xdr:col>
      <xdr:colOff>1400590</xdr:colOff>
      <xdr:row>28</xdr:row>
      <xdr:rowOff>129209</xdr:rowOff>
    </xdr:to>
    <xdr:pic>
      <xdr:nvPicPr>
        <xdr:cNvPr id="29222" name="Picture 120" descr="blr">
          <a:extLst>
            <a:ext uri="{FF2B5EF4-FFF2-40B4-BE49-F238E27FC236}">
              <a16:creationId xmlns:a16="http://schemas.microsoft.com/office/drawing/2014/main" id="{5487A20D-C66E-4D8F-ABFE-28B9095AD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9279" y="4828347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44312</xdr:colOff>
      <xdr:row>9</xdr:row>
      <xdr:rowOff>13666</xdr:rowOff>
    </xdr:from>
    <xdr:to>
      <xdr:col>7</xdr:col>
      <xdr:colOff>187187</xdr:colOff>
      <xdr:row>9</xdr:row>
      <xdr:rowOff>156541</xdr:rowOff>
    </xdr:to>
    <xdr:pic>
      <xdr:nvPicPr>
        <xdr:cNvPr id="29223" name="Picture 122" descr="che">
          <a:extLst>
            <a:ext uri="{FF2B5EF4-FFF2-40B4-BE49-F238E27FC236}">
              <a16:creationId xmlns:a16="http://schemas.microsoft.com/office/drawing/2014/main" id="{E23D4139-A59B-4562-B09F-4610BD3E8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269" y="1748873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27333</xdr:colOff>
      <xdr:row>14</xdr:row>
      <xdr:rowOff>21948</xdr:rowOff>
    </xdr:from>
    <xdr:to>
      <xdr:col>7</xdr:col>
      <xdr:colOff>227358</xdr:colOff>
      <xdr:row>14</xdr:row>
      <xdr:rowOff>155298</xdr:rowOff>
    </xdr:to>
    <xdr:pic>
      <xdr:nvPicPr>
        <xdr:cNvPr id="29224" name="Picture 124" descr="cze">
          <a:extLst>
            <a:ext uri="{FF2B5EF4-FFF2-40B4-BE49-F238E27FC236}">
              <a16:creationId xmlns:a16="http://schemas.microsoft.com/office/drawing/2014/main" id="{94729E6D-CD08-4A54-999E-B213B86C0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3290" y="2564709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34786</xdr:colOff>
      <xdr:row>17</xdr:row>
      <xdr:rowOff>13666</xdr:rowOff>
    </xdr:from>
    <xdr:to>
      <xdr:col>7</xdr:col>
      <xdr:colOff>215761</xdr:colOff>
      <xdr:row>17</xdr:row>
      <xdr:rowOff>147016</xdr:rowOff>
    </xdr:to>
    <xdr:pic>
      <xdr:nvPicPr>
        <xdr:cNvPr id="29227" name="Picture 128" descr="nor">
          <a:extLst>
            <a:ext uri="{FF2B5EF4-FFF2-40B4-BE49-F238E27FC236}">
              <a16:creationId xmlns:a16="http://schemas.microsoft.com/office/drawing/2014/main" id="{B19E601C-ABA3-43B1-A31D-FD87C131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0743" y="3040959"/>
          <a:ext cx="1809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24433</xdr:colOff>
      <xdr:row>13</xdr:row>
      <xdr:rowOff>17807</xdr:rowOff>
    </xdr:from>
    <xdr:to>
      <xdr:col>7</xdr:col>
      <xdr:colOff>205408</xdr:colOff>
      <xdr:row>13</xdr:row>
      <xdr:rowOff>151157</xdr:rowOff>
    </xdr:to>
    <xdr:pic>
      <xdr:nvPicPr>
        <xdr:cNvPr id="29228" name="Picture 129" descr="nor">
          <a:extLst>
            <a:ext uri="{FF2B5EF4-FFF2-40B4-BE49-F238E27FC236}">
              <a16:creationId xmlns:a16="http://schemas.microsoft.com/office/drawing/2014/main" id="{F075AC1F-4674-4BD0-8ACF-24D231F75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0390" y="2399057"/>
          <a:ext cx="1809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1200150</xdr:colOff>
      <xdr:row>46</xdr:row>
      <xdr:rowOff>17807</xdr:rowOff>
    </xdr:from>
    <xdr:to>
      <xdr:col>3</xdr:col>
      <xdr:colOff>1400175</xdr:colOff>
      <xdr:row>46</xdr:row>
      <xdr:rowOff>151157</xdr:rowOff>
    </xdr:to>
    <xdr:pic>
      <xdr:nvPicPr>
        <xdr:cNvPr id="29229" name="Picture 130" descr="svk">
          <a:extLst>
            <a:ext uri="{FF2B5EF4-FFF2-40B4-BE49-F238E27FC236}">
              <a16:creationId xmlns:a16="http://schemas.microsoft.com/office/drawing/2014/main" id="{6EF3D920-DB76-4A33-8752-245822B75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8389" y="7728916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33544</xdr:colOff>
      <xdr:row>27</xdr:row>
      <xdr:rowOff>14910</xdr:rowOff>
    </xdr:from>
    <xdr:to>
      <xdr:col>7</xdr:col>
      <xdr:colOff>214519</xdr:colOff>
      <xdr:row>27</xdr:row>
      <xdr:rowOff>148260</xdr:rowOff>
    </xdr:to>
    <xdr:pic>
      <xdr:nvPicPr>
        <xdr:cNvPr id="29231" name="Picture 111" descr="nor">
          <a:extLst>
            <a:ext uri="{FF2B5EF4-FFF2-40B4-BE49-F238E27FC236}">
              <a16:creationId xmlns:a16="http://schemas.microsoft.com/office/drawing/2014/main" id="{0F0780B3-6E99-4472-9D4A-6FCE9AA5C1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9501" y="4657312"/>
          <a:ext cx="1809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1196008</xdr:colOff>
      <xdr:row>12</xdr:row>
      <xdr:rowOff>19051</xdr:rowOff>
    </xdr:from>
    <xdr:to>
      <xdr:col>3</xdr:col>
      <xdr:colOff>1396033</xdr:colOff>
      <xdr:row>12</xdr:row>
      <xdr:rowOff>152401</xdr:rowOff>
    </xdr:to>
    <xdr:pic>
      <xdr:nvPicPr>
        <xdr:cNvPr id="29232" name="Picture 103" descr="svk">
          <a:extLst>
            <a:ext uri="{FF2B5EF4-FFF2-40B4-BE49-F238E27FC236}">
              <a16:creationId xmlns:a16="http://schemas.microsoft.com/office/drawing/2014/main" id="{DD28AC21-E95C-4461-B72B-5A8ACDAF6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4247" y="2238790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60876</xdr:colOff>
      <xdr:row>35</xdr:row>
      <xdr:rowOff>13667</xdr:rowOff>
    </xdr:from>
    <xdr:to>
      <xdr:col>7</xdr:col>
      <xdr:colOff>203751</xdr:colOff>
      <xdr:row>35</xdr:row>
      <xdr:rowOff>156542</xdr:rowOff>
    </xdr:to>
    <xdr:pic>
      <xdr:nvPicPr>
        <xdr:cNvPr id="29233" name="Picture 123" descr="che">
          <a:extLst>
            <a:ext uri="{FF2B5EF4-FFF2-40B4-BE49-F238E27FC236}">
              <a16:creationId xmlns:a16="http://schemas.microsoft.com/office/drawing/2014/main" id="{008A592D-A93F-44B9-9AF7-FD25AEBC2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6833" y="5948156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24434</xdr:colOff>
      <xdr:row>34</xdr:row>
      <xdr:rowOff>28576</xdr:rowOff>
    </xdr:from>
    <xdr:to>
      <xdr:col>7</xdr:col>
      <xdr:colOff>233984</xdr:colOff>
      <xdr:row>34</xdr:row>
      <xdr:rowOff>152401</xdr:rowOff>
    </xdr:to>
    <xdr:pic>
      <xdr:nvPicPr>
        <xdr:cNvPr id="29234" name="Picture 70" descr="deu">
          <a:extLst>
            <a:ext uri="{FF2B5EF4-FFF2-40B4-BE49-F238E27FC236}">
              <a16:creationId xmlns:a16="http://schemas.microsoft.com/office/drawing/2014/main" id="{6EBC44F8-8A24-4F23-823C-E1A733628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0391" y="5801554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22777</xdr:colOff>
      <xdr:row>44</xdr:row>
      <xdr:rowOff>19049</xdr:rowOff>
    </xdr:from>
    <xdr:to>
      <xdr:col>7</xdr:col>
      <xdr:colOff>232327</xdr:colOff>
      <xdr:row>44</xdr:row>
      <xdr:rowOff>152399</xdr:rowOff>
    </xdr:to>
    <xdr:pic>
      <xdr:nvPicPr>
        <xdr:cNvPr id="29235" name="Picture 110" descr="swe">
          <a:extLst>
            <a:ext uri="{FF2B5EF4-FFF2-40B4-BE49-F238E27FC236}">
              <a16:creationId xmlns:a16="http://schemas.microsoft.com/office/drawing/2014/main" id="{AF3BE83B-8217-4D31-B6C5-A5E1CAF5E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34" y="7407136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1194767</xdr:colOff>
      <xdr:row>31</xdr:row>
      <xdr:rowOff>27333</xdr:rowOff>
    </xdr:from>
    <xdr:to>
      <xdr:col>3</xdr:col>
      <xdr:colOff>1404317</xdr:colOff>
      <xdr:row>31</xdr:row>
      <xdr:rowOff>141633</xdr:rowOff>
    </xdr:to>
    <xdr:pic>
      <xdr:nvPicPr>
        <xdr:cNvPr id="29236" name="Picture 68" descr="usa">
          <a:extLst>
            <a:ext uri="{FF2B5EF4-FFF2-40B4-BE49-F238E27FC236}">
              <a16:creationId xmlns:a16="http://schemas.microsoft.com/office/drawing/2014/main" id="{D82257A4-9B59-4315-BD24-A4A7F1224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3006" y="5315779"/>
          <a:ext cx="2095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18635</xdr:colOff>
      <xdr:row>42</xdr:row>
      <xdr:rowOff>32716</xdr:rowOff>
    </xdr:from>
    <xdr:to>
      <xdr:col>7</xdr:col>
      <xdr:colOff>228185</xdr:colOff>
      <xdr:row>42</xdr:row>
      <xdr:rowOff>137491</xdr:rowOff>
    </xdr:to>
    <xdr:pic>
      <xdr:nvPicPr>
        <xdr:cNvPr id="29237" name="Picture 119" descr="blr">
          <a:extLst>
            <a:ext uri="{FF2B5EF4-FFF2-40B4-BE49-F238E27FC236}">
              <a16:creationId xmlns:a16="http://schemas.microsoft.com/office/drawing/2014/main" id="{C46CA8FF-BCFB-4603-BA80-F95CE230A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4592" y="7097781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1199322</xdr:colOff>
      <xdr:row>34</xdr:row>
      <xdr:rowOff>19050</xdr:rowOff>
    </xdr:from>
    <xdr:to>
      <xdr:col>3</xdr:col>
      <xdr:colOff>1399347</xdr:colOff>
      <xdr:row>34</xdr:row>
      <xdr:rowOff>152400</xdr:rowOff>
    </xdr:to>
    <xdr:pic>
      <xdr:nvPicPr>
        <xdr:cNvPr id="29239" name="Picture 116" descr="dnk">
          <a:extLst>
            <a:ext uri="{FF2B5EF4-FFF2-40B4-BE49-F238E27FC236}">
              <a16:creationId xmlns:a16="http://schemas.microsoft.com/office/drawing/2014/main" id="{A9E1D94E-25B9-4DDB-9F0A-09A6585B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561" y="5792028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1194766</xdr:colOff>
      <xdr:row>37</xdr:row>
      <xdr:rowOff>21949</xdr:rowOff>
    </xdr:from>
    <xdr:to>
      <xdr:col>3</xdr:col>
      <xdr:colOff>1404316</xdr:colOff>
      <xdr:row>37</xdr:row>
      <xdr:rowOff>145774</xdr:rowOff>
    </xdr:to>
    <xdr:pic>
      <xdr:nvPicPr>
        <xdr:cNvPr id="29241" name="Picture 79" descr="fin">
          <a:extLst>
            <a:ext uri="{FF2B5EF4-FFF2-40B4-BE49-F238E27FC236}">
              <a16:creationId xmlns:a16="http://schemas.microsoft.com/office/drawing/2014/main" id="{8A8E7F92-D618-4379-B400-323211705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3005" y="6279460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1196008</xdr:colOff>
      <xdr:row>43</xdr:row>
      <xdr:rowOff>32716</xdr:rowOff>
    </xdr:from>
    <xdr:to>
      <xdr:col>3</xdr:col>
      <xdr:colOff>1396033</xdr:colOff>
      <xdr:row>43</xdr:row>
      <xdr:rowOff>137491</xdr:rowOff>
    </xdr:to>
    <xdr:pic>
      <xdr:nvPicPr>
        <xdr:cNvPr id="29242" name="Picture 117" descr="lva">
          <a:extLst>
            <a:ext uri="{FF2B5EF4-FFF2-40B4-BE49-F238E27FC236}">
              <a16:creationId xmlns:a16="http://schemas.microsoft.com/office/drawing/2014/main" id="{4BC4F188-8E8D-41DC-A3FE-BFD9E3855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4247" y="7259292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24434</xdr:colOff>
      <xdr:row>46</xdr:row>
      <xdr:rowOff>23191</xdr:rowOff>
    </xdr:from>
    <xdr:to>
      <xdr:col>7</xdr:col>
      <xdr:colOff>224459</xdr:colOff>
      <xdr:row>46</xdr:row>
      <xdr:rowOff>156541</xdr:rowOff>
    </xdr:to>
    <xdr:pic>
      <xdr:nvPicPr>
        <xdr:cNvPr id="29243" name="Picture 124" descr="cze">
          <a:extLst>
            <a:ext uri="{FF2B5EF4-FFF2-40B4-BE49-F238E27FC236}">
              <a16:creationId xmlns:a16="http://schemas.microsoft.com/office/drawing/2014/main" id="{A344588F-7F1F-4949-98D2-4EDC6AE16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0391" y="7734300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21534</xdr:colOff>
      <xdr:row>40</xdr:row>
      <xdr:rowOff>36858</xdr:rowOff>
    </xdr:from>
    <xdr:to>
      <xdr:col>7</xdr:col>
      <xdr:colOff>231084</xdr:colOff>
      <xdr:row>40</xdr:row>
      <xdr:rowOff>141633</xdr:rowOff>
    </xdr:to>
    <xdr:pic>
      <xdr:nvPicPr>
        <xdr:cNvPr id="29244" name="Picture 73" descr="can">
          <a:extLst>
            <a:ext uri="{FF2B5EF4-FFF2-40B4-BE49-F238E27FC236}">
              <a16:creationId xmlns:a16="http://schemas.microsoft.com/office/drawing/2014/main" id="{8DA79540-B1D7-4BB9-8A33-A3C16E448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7491" y="6778901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29817</xdr:colOff>
      <xdr:row>47</xdr:row>
      <xdr:rowOff>31472</xdr:rowOff>
    </xdr:from>
    <xdr:to>
      <xdr:col>7</xdr:col>
      <xdr:colOff>239367</xdr:colOff>
      <xdr:row>47</xdr:row>
      <xdr:rowOff>155297</xdr:rowOff>
    </xdr:to>
    <xdr:pic>
      <xdr:nvPicPr>
        <xdr:cNvPr id="29245" name="Picture 78" descr="fin">
          <a:extLst>
            <a:ext uri="{FF2B5EF4-FFF2-40B4-BE49-F238E27FC236}">
              <a16:creationId xmlns:a16="http://schemas.microsoft.com/office/drawing/2014/main" id="{1CFD8774-A0AC-4480-8E92-4FD826BF0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5774" y="7904092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1200150</xdr:colOff>
      <xdr:row>30</xdr:row>
      <xdr:rowOff>19051</xdr:rowOff>
    </xdr:from>
    <xdr:to>
      <xdr:col>3</xdr:col>
      <xdr:colOff>1400175</xdr:colOff>
      <xdr:row>30</xdr:row>
      <xdr:rowOff>152401</xdr:rowOff>
    </xdr:to>
    <xdr:pic>
      <xdr:nvPicPr>
        <xdr:cNvPr id="29246" name="Picture 125" descr="cze">
          <a:extLst>
            <a:ext uri="{FF2B5EF4-FFF2-40B4-BE49-F238E27FC236}">
              <a16:creationId xmlns:a16="http://schemas.microsoft.com/office/drawing/2014/main" id="{612C4107-59FA-47D5-A906-F021257C0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8389" y="5145986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1208848</xdr:colOff>
      <xdr:row>59</xdr:row>
      <xdr:rowOff>19049</xdr:rowOff>
    </xdr:from>
    <xdr:to>
      <xdr:col>3</xdr:col>
      <xdr:colOff>1389823</xdr:colOff>
      <xdr:row>59</xdr:row>
      <xdr:rowOff>152399</xdr:rowOff>
    </xdr:to>
    <xdr:pic>
      <xdr:nvPicPr>
        <xdr:cNvPr id="29249" name="Picture 111" descr="nor">
          <a:extLst>
            <a:ext uri="{FF2B5EF4-FFF2-40B4-BE49-F238E27FC236}">
              <a16:creationId xmlns:a16="http://schemas.microsoft.com/office/drawing/2014/main" id="{47F0892E-AA96-4006-ADCE-C8A70D392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087" y="9829799"/>
          <a:ext cx="1809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1220858</xdr:colOff>
      <xdr:row>41</xdr:row>
      <xdr:rowOff>9525</xdr:rowOff>
    </xdr:from>
    <xdr:to>
      <xdr:col>3</xdr:col>
      <xdr:colOff>1363733</xdr:colOff>
      <xdr:row>41</xdr:row>
      <xdr:rowOff>152400</xdr:rowOff>
    </xdr:to>
    <xdr:pic>
      <xdr:nvPicPr>
        <xdr:cNvPr id="29250" name="Picture 122" descr="che">
          <a:extLst>
            <a:ext uri="{FF2B5EF4-FFF2-40B4-BE49-F238E27FC236}">
              <a16:creationId xmlns:a16="http://schemas.microsoft.com/office/drawing/2014/main" id="{0995220C-15A8-4369-B958-9F0E2B66B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9097" y="6913079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1188142</xdr:colOff>
      <xdr:row>38</xdr:row>
      <xdr:rowOff>23192</xdr:rowOff>
    </xdr:from>
    <xdr:to>
      <xdr:col>3</xdr:col>
      <xdr:colOff>1397692</xdr:colOff>
      <xdr:row>38</xdr:row>
      <xdr:rowOff>147017</xdr:rowOff>
    </xdr:to>
    <xdr:pic>
      <xdr:nvPicPr>
        <xdr:cNvPr id="29251" name="Picture 71" descr="deu">
          <a:extLst>
            <a:ext uri="{FF2B5EF4-FFF2-40B4-BE49-F238E27FC236}">
              <a16:creationId xmlns:a16="http://schemas.microsoft.com/office/drawing/2014/main" id="{50BFC16E-9A5A-48C3-BA08-6E005DBCB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381" y="6442214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1194766</xdr:colOff>
      <xdr:row>36</xdr:row>
      <xdr:rowOff>19050</xdr:rowOff>
    </xdr:from>
    <xdr:to>
      <xdr:col>3</xdr:col>
      <xdr:colOff>1404316</xdr:colOff>
      <xdr:row>36</xdr:row>
      <xdr:rowOff>152400</xdr:rowOff>
    </xdr:to>
    <xdr:pic>
      <xdr:nvPicPr>
        <xdr:cNvPr id="29252" name="Picture 108" descr="swe">
          <a:extLst>
            <a:ext uri="{FF2B5EF4-FFF2-40B4-BE49-F238E27FC236}">
              <a16:creationId xmlns:a16="http://schemas.microsoft.com/office/drawing/2014/main" id="{29FB6418-F321-46CC-957F-03D4CF5BD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3005" y="6115050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27333</xdr:colOff>
      <xdr:row>32</xdr:row>
      <xdr:rowOff>29817</xdr:rowOff>
    </xdr:from>
    <xdr:to>
      <xdr:col>7</xdr:col>
      <xdr:colOff>236883</xdr:colOff>
      <xdr:row>32</xdr:row>
      <xdr:rowOff>134592</xdr:rowOff>
    </xdr:to>
    <xdr:pic>
      <xdr:nvPicPr>
        <xdr:cNvPr id="29253" name="Picture 119" descr="blr">
          <a:extLst>
            <a:ext uri="{FF2B5EF4-FFF2-40B4-BE49-F238E27FC236}">
              <a16:creationId xmlns:a16="http://schemas.microsoft.com/office/drawing/2014/main" id="{48CD223C-E1F4-4014-983C-D9DDFF257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3290" y="5479774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28160</xdr:colOff>
      <xdr:row>51</xdr:row>
      <xdr:rowOff>29818</xdr:rowOff>
    </xdr:from>
    <xdr:to>
      <xdr:col>7</xdr:col>
      <xdr:colOff>228185</xdr:colOff>
      <xdr:row>51</xdr:row>
      <xdr:rowOff>134593</xdr:rowOff>
    </xdr:to>
    <xdr:pic>
      <xdr:nvPicPr>
        <xdr:cNvPr id="29254" name="Picture 117" descr="lva">
          <a:extLst>
            <a:ext uri="{FF2B5EF4-FFF2-40B4-BE49-F238E27FC236}">
              <a16:creationId xmlns:a16="http://schemas.microsoft.com/office/drawing/2014/main" id="{848A0694-32BD-43DE-9145-E0B3CD61E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4117" y="8548481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1191868</xdr:colOff>
      <xdr:row>42</xdr:row>
      <xdr:rowOff>19050</xdr:rowOff>
    </xdr:from>
    <xdr:to>
      <xdr:col>3</xdr:col>
      <xdr:colOff>1391893</xdr:colOff>
      <xdr:row>42</xdr:row>
      <xdr:rowOff>152400</xdr:rowOff>
    </xdr:to>
    <xdr:pic>
      <xdr:nvPicPr>
        <xdr:cNvPr id="29256" name="Picture 81" descr="dnk">
          <a:extLst>
            <a:ext uri="{FF2B5EF4-FFF2-40B4-BE49-F238E27FC236}">
              <a16:creationId xmlns:a16="http://schemas.microsoft.com/office/drawing/2014/main" id="{7F16DAC9-1AEC-4309-9BBA-C739D0A8C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0107" y="708411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26918</xdr:colOff>
      <xdr:row>56</xdr:row>
      <xdr:rowOff>32716</xdr:rowOff>
    </xdr:from>
    <xdr:to>
      <xdr:col>7</xdr:col>
      <xdr:colOff>236468</xdr:colOff>
      <xdr:row>56</xdr:row>
      <xdr:rowOff>137491</xdr:rowOff>
    </xdr:to>
    <xdr:pic>
      <xdr:nvPicPr>
        <xdr:cNvPr id="29257" name="Picture 73" descr="can">
          <a:extLst>
            <a:ext uri="{FF2B5EF4-FFF2-40B4-BE49-F238E27FC236}">
              <a16:creationId xmlns:a16="http://schemas.microsoft.com/office/drawing/2014/main" id="{CF0527A0-2E3C-4DC1-8611-C55EAEF97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9358933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20293</xdr:colOff>
      <xdr:row>60</xdr:row>
      <xdr:rowOff>13666</xdr:rowOff>
    </xdr:from>
    <xdr:to>
      <xdr:col>7</xdr:col>
      <xdr:colOff>229843</xdr:colOff>
      <xdr:row>60</xdr:row>
      <xdr:rowOff>147016</xdr:rowOff>
    </xdr:to>
    <xdr:pic>
      <xdr:nvPicPr>
        <xdr:cNvPr id="29258" name="Picture 108" descr="swe">
          <a:extLst>
            <a:ext uri="{FF2B5EF4-FFF2-40B4-BE49-F238E27FC236}">
              <a16:creationId xmlns:a16="http://schemas.microsoft.com/office/drawing/2014/main" id="{DD9864AC-5724-41FC-A8BA-C418910A4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250" y="9985927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3</xdr:col>
      <xdr:colOff>1188140</xdr:colOff>
      <xdr:row>55</xdr:row>
      <xdr:rowOff>20292</xdr:rowOff>
    </xdr:from>
    <xdr:to>
      <xdr:col>3</xdr:col>
      <xdr:colOff>1397690</xdr:colOff>
      <xdr:row>55</xdr:row>
      <xdr:rowOff>134592</xdr:rowOff>
    </xdr:to>
    <xdr:pic>
      <xdr:nvPicPr>
        <xdr:cNvPr id="29259" name="Picture 66" descr="usa">
          <a:extLst>
            <a:ext uri="{FF2B5EF4-FFF2-40B4-BE49-F238E27FC236}">
              <a16:creationId xmlns:a16="http://schemas.microsoft.com/office/drawing/2014/main" id="{8FC308C1-9822-4CA5-8C0E-F99764E9C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379" y="9184999"/>
          <a:ext cx="2095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1196008</xdr:colOff>
      <xdr:row>54</xdr:row>
      <xdr:rowOff>19049</xdr:rowOff>
    </xdr:from>
    <xdr:to>
      <xdr:col>3</xdr:col>
      <xdr:colOff>1396033</xdr:colOff>
      <xdr:row>54</xdr:row>
      <xdr:rowOff>152399</xdr:rowOff>
    </xdr:to>
    <xdr:pic>
      <xdr:nvPicPr>
        <xdr:cNvPr id="29260" name="Picture 124" descr="cze">
          <a:extLst>
            <a:ext uri="{FF2B5EF4-FFF2-40B4-BE49-F238E27FC236}">
              <a16:creationId xmlns:a16="http://schemas.microsoft.com/office/drawing/2014/main" id="{9D2E7147-3CE1-4298-8065-2CF442B6C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4247" y="902224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1200565</xdr:colOff>
      <xdr:row>56</xdr:row>
      <xdr:rowOff>21949</xdr:rowOff>
    </xdr:from>
    <xdr:to>
      <xdr:col>3</xdr:col>
      <xdr:colOff>1400590</xdr:colOff>
      <xdr:row>56</xdr:row>
      <xdr:rowOff>155299</xdr:rowOff>
    </xdr:to>
    <xdr:pic>
      <xdr:nvPicPr>
        <xdr:cNvPr id="29261" name="Picture 130" descr="svk">
          <a:extLst>
            <a:ext uri="{FF2B5EF4-FFF2-40B4-BE49-F238E27FC236}">
              <a16:creationId xmlns:a16="http://schemas.microsoft.com/office/drawing/2014/main" id="{F33E191D-1AB5-4A1A-8734-7EC51513E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8804" y="9348166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19049</xdr:colOff>
      <xdr:row>59</xdr:row>
      <xdr:rowOff>19050</xdr:rowOff>
    </xdr:from>
    <xdr:to>
      <xdr:col>7</xdr:col>
      <xdr:colOff>228599</xdr:colOff>
      <xdr:row>59</xdr:row>
      <xdr:rowOff>142875</xdr:rowOff>
    </xdr:to>
    <xdr:pic>
      <xdr:nvPicPr>
        <xdr:cNvPr id="29262" name="Picture 78" descr="fin">
          <a:extLst>
            <a:ext uri="{FF2B5EF4-FFF2-40B4-BE49-F238E27FC236}">
              <a16:creationId xmlns:a16="http://schemas.microsoft.com/office/drawing/2014/main" id="{4AB76016-D8F5-42B4-8394-2768291B0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5006" y="9829800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55494</xdr:colOff>
      <xdr:row>61</xdr:row>
      <xdr:rowOff>13666</xdr:rowOff>
    </xdr:from>
    <xdr:to>
      <xdr:col>7</xdr:col>
      <xdr:colOff>198369</xdr:colOff>
      <xdr:row>61</xdr:row>
      <xdr:rowOff>156541</xdr:rowOff>
    </xdr:to>
    <xdr:pic>
      <xdr:nvPicPr>
        <xdr:cNvPr id="29264" name="Picture 122" descr="che">
          <a:extLst>
            <a:ext uri="{FF2B5EF4-FFF2-40B4-BE49-F238E27FC236}">
              <a16:creationId xmlns:a16="http://schemas.microsoft.com/office/drawing/2014/main" id="{499D542E-D61D-4874-96E3-459E0C4A7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1" y="10147438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31060</xdr:colOff>
      <xdr:row>58</xdr:row>
      <xdr:rowOff>16151</xdr:rowOff>
    </xdr:from>
    <xdr:to>
      <xdr:col>7</xdr:col>
      <xdr:colOff>240610</xdr:colOff>
      <xdr:row>58</xdr:row>
      <xdr:rowOff>139976</xdr:rowOff>
    </xdr:to>
    <xdr:pic>
      <xdr:nvPicPr>
        <xdr:cNvPr id="29265" name="Picture 71" descr="deu">
          <a:extLst>
            <a:ext uri="{FF2B5EF4-FFF2-40B4-BE49-F238E27FC236}">
              <a16:creationId xmlns:a16="http://schemas.microsoft.com/office/drawing/2014/main" id="{B084321E-316C-4B64-B6EA-8379995AB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7017" y="9665390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1182758</xdr:colOff>
      <xdr:row>52</xdr:row>
      <xdr:rowOff>24434</xdr:rowOff>
    </xdr:from>
    <xdr:to>
      <xdr:col>3</xdr:col>
      <xdr:colOff>1392308</xdr:colOff>
      <xdr:row>52</xdr:row>
      <xdr:rowOff>138734</xdr:rowOff>
    </xdr:to>
    <xdr:pic>
      <xdr:nvPicPr>
        <xdr:cNvPr id="29266" name="Picture 120" descr="blr">
          <a:extLst>
            <a:ext uri="{FF2B5EF4-FFF2-40B4-BE49-F238E27FC236}">
              <a16:creationId xmlns:a16="http://schemas.microsoft.com/office/drawing/2014/main" id="{84B7144B-85B0-4D58-9BC7-E7A16344F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0997" y="8704608"/>
          <a:ext cx="2095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31473</xdr:colOff>
      <xdr:row>37</xdr:row>
      <xdr:rowOff>36857</xdr:rowOff>
    </xdr:from>
    <xdr:to>
      <xdr:col>7</xdr:col>
      <xdr:colOff>231498</xdr:colOff>
      <xdr:row>37</xdr:row>
      <xdr:rowOff>141632</xdr:rowOff>
    </xdr:to>
    <xdr:pic>
      <xdr:nvPicPr>
        <xdr:cNvPr id="29267" name="Picture 118" descr="lva">
          <a:extLst>
            <a:ext uri="{FF2B5EF4-FFF2-40B4-BE49-F238E27FC236}">
              <a16:creationId xmlns:a16="http://schemas.microsoft.com/office/drawing/2014/main" id="{D6383469-46CE-4A9C-A554-5CFAAADC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7430" y="6294368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1214231</xdr:colOff>
      <xdr:row>45</xdr:row>
      <xdr:rowOff>14909</xdr:rowOff>
    </xdr:from>
    <xdr:to>
      <xdr:col>3</xdr:col>
      <xdr:colOff>1395206</xdr:colOff>
      <xdr:row>45</xdr:row>
      <xdr:rowOff>148259</xdr:rowOff>
    </xdr:to>
    <xdr:pic>
      <xdr:nvPicPr>
        <xdr:cNvPr id="29268" name="Picture 111" descr="nor">
          <a:extLst>
            <a:ext uri="{FF2B5EF4-FFF2-40B4-BE49-F238E27FC236}">
              <a16:creationId xmlns:a16="http://schemas.microsoft.com/office/drawing/2014/main" id="{B1FEDF02-40CD-46C8-BB03-43F08C84B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2470" y="7564507"/>
          <a:ext cx="1809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1200150</xdr:colOff>
      <xdr:row>60</xdr:row>
      <xdr:rowOff>23192</xdr:rowOff>
    </xdr:from>
    <xdr:to>
      <xdr:col>3</xdr:col>
      <xdr:colOff>1400175</xdr:colOff>
      <xdr:row>60</xdr:row>
      <xdr:rowOff>156542</xdr:rowOff>
    </xdr:to>
    <xdr:pic>
      <xdr:nvPicPr>
        <xdr:cNvPr id="29270" name="Picture 81" descr="dnk">
          <a:extLst>
            <a:ext uri="{FF2B5EF4-FFF2-40B4-BE49-F238E27FC236}">
              <a16:creationId xmlns:a16="http://schemas.microsoft.com/office/drawing/2014/main" id="{93D94934-3B0D-4FA5-B68B-F1E924A44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8389" y="9995453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1188141</xdr:colOff>
      <xdr:row>49</xdr:row>
      <xdr:rowOff>27332</xdr:rowOff>
    </xdr:from>
    <xdr:to>
      <xdr:col>3</xdr:col>
      <xdr:colOff>1397691</xdr:colOff>
      <xdr:row>49</xdr:row>
      <xdr:rowOff>151157</xdr:rowOff>
    </xdr:to>
    <xdr:pic>
      <xdr:nvPicPr>
        <xdr:cNvPr id="29271" name="Picture 79" descr="fin">
          <a:extLst>
            <a:ext uri="{FF2B5EF4-FFF2-40B4-BE49-F238E27FC236}">
              <a16:creationId xmlns:a16="http://schemas.microsoft.com/office/drawing/2014/main" id="{CD4C2337-73F5-410C-B379-F28E4DCDB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380" y="8222973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23193</xdr:colOff>
      <xdr:row>38</xdr:row>
      <xdr:rowOff>31473</xdr:rowOff>
    </xdr:from>
    <xdr:to>
      <xdr:col>7</xdr:col>
      <xdr:colOff>232743</xdr:colOff>
      <xdr:row>38</xdr:row>
      <xdr:rowOff>136248</xdr:rowOff>
    </xdr:to>
    <xdr:pic>
      <xdr:nvPicPr>
        <xdr:cNvPr id="29272" name="Picture 119" descr="blr">
          <a:extLst>
            <a:ext uri="{FF2B5EF4-FFF2-40B4-BE49-F238E27FC236}">
              <a16:creationId xmlns:a16="http://schemas.microsoft.com/office/drawing/2014/main" id="{3FDF11E3-9CED-4607-A3C5-5577AC5B8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150" y="6450495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22776</xdr:colOff>
      <xdr:row>54</xdr:row>
      <xdr:rowOff>14908</xdr:rowOff>
    </xdr:from>
    <xdr:to>
      <xdr:col>7</xdr:col>
      <xdr:colOff>222801</xdr:colOff>
      <xdr:row>54</xdr:row>
      <xdr:rowOff>148258</xdr:rowOff>
    </xdr:to>
    <xdr:pic>
      <xdr:nvPicPr>
        <xdr:cNvPr id="29273" name="Picture 81" descr="dnk">
          <a:extLst>
            <a:ext uri="{FF2B5EF4-FFF2-40B4-BE49-F238E27FC236}">
              <a16:creationId xmlns:a16="http://schemas.microsoft.com/office/drawing/2014/main" id="{74F88560-16CF-462E-AD54-FAACA14C3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33" y="9018104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1188140</xdr:colOff>
      <xdr:row>50</xdr:row>
      <xdr:rowOff>27332</xdr:rowOff>
    </xdr:from>
    <xdr:to>
      <xdr:col>3</xdr:col>
      <xdr:colOff>1397690</xdr:colOff>
      <xdr:row>50</xdr:row>
      <xdr:rowOff>151157</xdr:rowOff>
    </xdr:to>
    <xdr:pic>
      <xdr:nvPicPr>
        <xdr:cNvPr id="29275" name="Picture 70" descr="deu">
          <a:extLst>
            <a:ext uri="{FF2B5EF4-FFF2-40B4-BE49-F238E27FC236}">
              <a16:creationId xmlns:a16="http://schemas.microsoft.com/office/drawing/2014/main" id="{652C7788-307B-4896-9394-EE3DFB866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6379" y="8384484"/>
          <a:ext cx="2095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1224998</xdr:colOff>
      <xdr:row>51</xdr:row>
      <xdr:rowOff>9525</xdr:rowOff>
    </xdr:from>
    <xdr:to>
      <xdr:col>3</xdr:col>
      <xdr:colOff>1367873</xdr:colOff>
      <xdr:row>51</xdr:row>
      <xdr:rowOff>152400</xdr:rowOff>
    </xdr:to>
    <xdr:pic>
      <xdr:nvPicPr>
        <xdr:cNvPr id="29276" name="Picture 123" descr="che">
          <a:extLst>
            <a:ext uri="{FF2B5EF4-FFF2-40B4-BE49-F238E27FC236}">
              <a16:creationId xmlns:a16="http://schemas.microsoft.com/office/drawing/2014/main" id="{B2DABA64-4268-43F9-999C-93B3CA95E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3237" y="8528188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1191867</xdr:colOff>
      <xdr:row>57</xdr:row>
      <xdr:rowOff>42241</xdr:rowOff>
    </xdr:from>
    <xdr:to>
      <xdr:col>3</xdr:col>
      <xdr:colOff>1391892</xdr:colOff>
      <xdr:row>57</xdr:row>
      <xdr:rowOff>147016</xdr:rowOff>
    </xdr:to>
    <xdr:pic>
      <xdr:nvPicPr>
        <xdr:cNvPr id="29277" name="Picture 117" descr="lva">
          <a:extLst>
            <a:ext uri="{FF2B5EF4-FFF2-40B4-BE49-F238E27FC236}">
              <a16:creationId xmlns:a16="http://schemas.microsoft.com/office/drawing/2014/main" id="{677CB664-3C6E-4B14-AABF-5FF25D42C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0106" y="9529969"/>
          <a:ext cx="2000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1186898</xdr:colOff>
      <xdr:row>44</xdr:row>
      <xdr:rowOff>29817</xdr:rowOff>
    </xdr:from>
    <xdr:to>
      <xdr:col>3</xdr:col>
      <xdr:colOff>1396448</xdr:colOff>
      <xdr:row>44</xdr:row>
      <xdr:rowOff>134592</xdr:rowOff>
    </xdr:to>
    <xdr:pic>
      <xdr:nvPicPr>
        <xdr:cNvPr id="29278" name="Picture 72" descr="can">
          <a:extLst>
            <a:ext uri="{FF2B5EF4-FFF2-40B4-BE49-F238E27FC236}">
              <a16:creationId xmlns:a16="http://schemas.microsoft.com/office/drawing/2014/main" id="{30880AD9-D4B7-4A9F-B5C0-FAB437C2A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5137" y="7417904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25262</xdr:colOff>
      <xdr:row>55</xdr:row>
      <xdr:rowOff>14908</xdr:rowOff>
    </xdr:from>
    <xdr:to>
      <xdr:col>7</xdr:col>
      <xdr:colOff>206237</xdr:colOff>
      <xdr:row>55</xdr:row>
      <xdr:rowOff>148258</xdr:rowOff>
    </xdr:to>
    <xdr:pic>
      <xdr:nvPicPr>
        <xdr:cNvPr id="29279" name="Picture 111" descr="nor">
          <a:extLst>
            <a:ext uri="{FF2B5EF4-FFF2-40B4-BE49-F238E27FC236}">
              <a16:creationId xmlns:a16="http://schemas.microsoft.com/office/drawing/2014/main" id="{548EEBDC-1F36-48AE-B443-BFD1992E1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1219" y="9179615"/>
          <a:ext cx="1809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27332</xdr:colOff>
      <xdr:row>16</xdr:row>
      <xdr:rowOff>14908</xdr:rowOff>
    </xdr:from>
    <xdr:to>
      <xdr:col>7</xdr:col>
      <xdr:colOff>227357</xdr:colOff>
      <xdr:row>16</xdr:row>
      <xdr:rowOff>148258</xdr:rowOff>
    </xdr:to>
    <xdr:pic>
      <xdr:nvPicPr>
        <xdr:cNvPr id="29280" name="Picture 103" descr="svk">
          <a:extLst>
            <a:ext uri="{FF2B5EF4-FFF2-40B4-BE49-F238E27FC236}">
              <a16:creationId xmlns:a16="http://schemas.microsoft.com/office/drawing/2014/main" id="{456DDD58-EF6E-4936-B0AE-0726A3BE3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3289" y="2880691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1198908</xdr:colOff>
      <xdr:row>58</xdr:row>
      <xdr:rowOff>19051</xdr:rowOff>
    </xdr:from>
    <xdr:to>
      <xdr:col>3</xdr:col>
      <xdr:colOff>1398933</xdr:colOff>
      <xdr:row>58</xdr:row>
      <xdr:rowOff>152401</xdr:rowOff>
    </xdr:to>
    <xdr:pic>
      <xdr:nvPicPr>
        <xdr:cNvPr id="29281" name="Picture 125" descr="cze">
          <a:extLst>
            <a:ext uri="{FF2B5EF4-FFF2-40B4-BE49-F238E27FC236}">
              <a16:creationId xmlns:a16="http://schemas.microsoft.com/office/drawing/2014/main" id="{168896D9-3B49-47B1-BF80-1CB81F922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147" y="9668290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24019</xdr:colOff>
      <xdr:row>43</xdr:row>
      <xdr:rowOff>28575</xdr:rowOff>
    </xdr:from>
    <xdr:to>
      <xdr:col>7</xdr:col>
      <xdr:colOff>233569</xdr:colOff>
      <xdr:row>43</xdr:row>
      <xdr:rowOff>142875</xdr:rowOff>
    </xdr:to>
    <xdr:pic>
      <xdr:nvPicPr>
        <xdr:cNvPr id="29282" name="Picture 66" descr="usa">
          <a:extLst>
            <a:ext uri="{FF2B5EF4-FFF2-40B4-BE49-F238E27FC236}">
              <a16:creationId xmlns:a16="http://schemas.microsoft.com/office/drawing/2014/main" id="{D20FA324-BD54-47D1-8393-5DB7A3DA4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976" y="7255151"/>
          <a:ext cx="2095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14909</xdr:colOff>
      <xdr:row>8</xdr:row>
      <xdr:rowOff>14909</xdr:rowOff>
    </xdr:from>
    <xdr:to>
      <xdr:col>7</xdr:col>
      <xdr:colOff>214934</xdr:colOff>
      <xdr:row>8</xdr:row>
      <xdr:rowOff>148259</xdr:rowOff>
    </xdr:to>
    <xdr:pic>
      <xdr:nvPicPr>
        <xdr:cNvPr id="29284" name="Picture 96" descr="cze">
          <a:extLst>
            <a:ext uri="{FF2B5EF4-FFF2-40B4-BE49-F238E27FC236}">
              <a16:creationId xmlns:a16="http://schemas.microsoft.com/office/drawing/2014/main" id="{808FAE2A-570D-4825-B8EA-9A06281EE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0866" y="1588605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24433</xdr:colOff>
      <xdr:row>7</xdr:row>
      <xdr:rowOff>27332</xdr:rowOff>
    </xdr:from>
    <xdr:to>
      <xdr:col>7</xdr:col>
      <xdr:colOff>233983</xdr:colOff>
      <xdr:row>7</xdr:row>
      <xdr:rowOff>141632</xdr:rowOff>
    </xdr:to>
    <xdr:pic>
      <xdr:nvPicPr>
        <xdr:cNvPr id="29285" name="Picture 68" descr="usa">
          <a:extLst>
            <a:ext uri="{FF2B5EF4-FFF2-40B4-BE49-F238E27FC236}">
              <a16:creationId xmlns:a16="http://schemas.microsoft.com/office/drawing/2014/main" id="{EE8B52D5-F1E5-4B0C-82B8-0C35D0541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0390" y="1439517"/>
          <a:ext cx="2095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26918</xdr:colOff>
      <xdr:row>11</xdr:row>
      <xdr:rowOff>28576</xdr:rowOff>
    </xdr:from>
    <xdr:to>
      <xdr:col>7</xdr:col>
      <xdr:colOff>236468</xdr:colOff>
      <xdr:row>11</xdr:row>
      <xdr:rowOff>142876</xdr:rowOff>
    </xdr:to>
    <xdr:pic>
      <xdr:nvPicPr>
        <xdr:cNvPr id="29286" name="Picture 68" descr="usa">
          <a:extLst>
            <a:ext uri="{FF2B5EF4-FFF2-40B4-BE49-F238E27FC236}">
              <a16:creationId xmlns:a16="http://schemas.microsoft.com/office/drawing/2014/main" id="{931CE926-1F4C-43AE-9FF7-1B5703432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2086804"/>
          <a:ext cx="2095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1193524</xdr:colOff>
      <xdr:row>32</xdr:row>
      <xdr:rowOff>33958</xdr:rowOff>
    </xdr:from>
    <xdr:to>
      <xdr:col>3</xdr:col>
      <xdr:colOff>1403074</xdr:colOff>
      <xdr:row>32</xdr:row>
      <xdr:rowOff>138733</xdr:rowOff>
    </xdr:to>
    <xdr:pic>
      <xdr:nvPicPr>
        <xdr:cNvPr id="29287" name="Picture 72" descr="can">
          <a:extLst>
            <a:ext uri="{FF2B5EF4-FFF2-40B4-BE49-F238E27FC236}">
              <a16:creationId xmlns:a16="http://schemas.microsoft.com/office/drawing/2014/main" id="{D484AFEE-E57D-4264-A730-F0AA1A42C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1763" y="5483915"/>
          <a:ext cx="20955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</xdr:colOff>
      <xdr:row>24</xdr:row>
      <xdr:rowOff>10767</xdr:rowOff>
    </xdr:from>
    <xdr:to>
      <xdr:col>7</xdr:col>
      <xdr:colOff>228600</xdr:colOff>
      <xdr:row>24</xdr:row>
      <xdr:rowOff>144117</xdr:rowOff>
    </xdr:to>
    <xdr:pic>
      <xdr:nvPicPr>
        <xdr:cNvPr id="29288" name="Picture 110" descr="swe">
          <a:extLst>
            <a:ext uri="{FF2B5EF4-FFF2-40B4-BE49-F238E27FC236}">
              <a16:creationId xmlns:a16="http://schemas.microsoft.com/office/drawing/2014/main" id="{89A76526-6524-4558-8826-BCD8DC13A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5007" y="4168637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24020</xdr:colOff>
      <xdr:row>50</xdr:row>
      <xdr:rowOff>19051</xdr:rowOff>
    </xdr:from>
    <xdr:to>
      <xdr:col>7</xdr:col>
      <xdr:colOff>224045</xdr:colOff>
      <xdr:row>50</xdr:row>
      <xdr:rowOff>152401</xdr:rowOff>
    </xdr:to>
    <xdr:pic>
      <xdr:nvPicPr>
        <xdr:cNvPr id="29289" name="Picture 103" descr="svk">
          <a:extLst>
            <a:ext uri="{FF2B5EF4-FFF2-40B4-BE49-F238E27FC236}">
              <a16:creationId xmlns:a16="http://schemas.microsoft.com/office/drawing/2014/main" id="{8466AEC7-F24B-4207-BE7C-3B064F449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977" y="8376203"/>
          <a:ext cx="2000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1223341</xdr:colOff>
      <xdr:row>25</xdr:row>
      <xdr:rowOff>13667</xdr:rowOff>
    </xdr:from>
    <xdr:to>
      <xdr:col>3</xdr:col>
      <xdr:colOff>1366216</xdr:colOff>
      <xdr:row>25</xdr:row>
      <xdr:rowOff>156542</xdr:rowOff>
    </xdr:to>
    <xdr:pic>
      <xdr:nvPicPr>
        <xdr:cNvPr id="29290" name="Picture 84" descr="che">
          <a:extLst>
            <a:ext uri="{FF2B5EF4-FFF2-40B4-BE49-F238E27FC236}">
              <a16:creationId xmlns:a16="http://schemas.microsoft.com/office/drawing/2014/main" id="{D7F892E3-4808-42DF-A490-AF35FD92E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1580" y="4333047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1193525</xdr:colOff>
      <xdr:row>61</xdr:row>
      <xdr:rowOff>27332</xdr:rowOff>
    </xdr:from>
    <xdr:to>
      <xdr:col>3</xdr:col>
      <xdr:colOff>1403075</xdr:colOff>
      <xdr:row>61</xdr:row>
      <xdr:rowOff>141632</xdr:rowOff>
    </xdr:to>
    <xdr:pic>
      <xdr:nvPicPr>
        <xdr:cNvPr id="29291" name="Picture 68" descr="usa">
          <a:extLst>
            <a:ext uri="{FF2B5EF4-FFF2-40B4-BE49-F238E27FC236}">
              <a16:creationId xmlns:a16="http://schemas.microsoft.com/office/drawing/2014/main" id="{FF8FBA4B-54A0-428C-8718-E90D59830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1764" y="10161104"/>
          <a:ext cx="2095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1208848</xdr:colOff>
      <xdr:row>35</xdr:row>
      <xdr:rowOff>19049</xdr:rowOff>
    </xdr:from>
    <xdr:to>
      <xdr:col>3</xdr:col>
      <xdr:colOff>1389823</xdr:colOff>
      <xdr:row>35</xdr:row>
      <xdr:rowOff>152399</xdr:rowOff>
    </xdr:to>
    <xdr:pic>
      <xdr:nvPicPr>
        <xdr:cNvPr id="29292" name="Picture 111" descr="nor">
          <a:extLst>
            <a:ext uri="{FF2B5EF4-FFF2-40B4-BE49-F238E27FC236}">
              <a16:creationId xmlns:a16="http://schemas.microsoft.com/office/drawing/2014/main" id="{9F000888-5912-4AD4-9B96-350904FFB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087" y="5953538"/>
          <a:ext cx="1809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1190625</xdr:colOff>
      <xdr:row>11</xdr:row>
      <xdr:rowOff>16151</xdr:rowOff>
    </xdr:from>
    <xdr:to>
      <xdr:col>3</xdr:col>
      <xdr:colOff>1400175</xdr:colOff>
      <xdr:row>11</xdr:row>
      <xdr:rowOff>149087</xdr:rowOff>
    </xdr:to>
    <xdr:pic>
      <xdr:nvPicPr>
        <xdr:cNvPr id="29293" name="Picture 1">
          <a:extLst>
            <a:ext uri="{FF2B5EF4-FFF2-40B4-BE49-F238E27FC236}">
              <a16:creationId xmlns:a16="http://schemas.microsoft.com/office/drawing/2014/main" id="{678B5A2D-614F-443F-B91F-2B399DB74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864" y="2074379"/>
          <a:ext cx="209550" cy="132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24433</xdr:colOff>
      <xdr:row>21</xdr:row>
      <xdr:rowOff>14909</xdr:rowOff>
    </xdr:from>
    <xdr:to>
      <xdr:col>7</xdr:col>
      <xdr:colOff>233983</xdr:colOff>
      <xdr:row>21</xdr:row>
      <xdr:rowOff>148259</xdr:rowOff>
    </xdr:to>
    <xdr:pic>
      <xdr:nvPicPr>
        <xdr:cNvPr id="29294" name="Picture 115">
          <a:extLst>
            <a:ext uri="{FF2B5EF4-FFF2-40B4-BE49-F238E27FC236}">
              <a16:creationId xmlns:a16="http://schemas.microsoft.com/office/drawing/2014/main" id="{A6C68B93-840A-4AD3-9EF1-D1AAA8731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0390" y="3688246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1190625</xdr:colOff>
      <xdr:row>29</xdr:row>
      <xdr:rowOff>14908</xdr:rowOff>
    </xdr:from>
    <xdr:to>
      <xdr:col>3</xdr:col>
      <xdr:colOff>1400175</xdr:colOff>
      <xdr:row>29</xdr:row>
      <xdr:rowOff>148258</xdr:rowOff>
    </xdr:to>
    <xdr:pic>
      <xdr:nvPicPr>
        <xdr:cNvPr id="29295" name="Picture 116">
          <a:extLst>
            <a:ext uri="{FF2B5EF4-FFF2-40B4-BE49-F238E27FC236}">
              <a16:creationId xmlns:a16="http://schemas.microsoft.com/office/drawing/2014/main" id="{DD3D110D-9715-4A87-B73C-B90BBB01D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864" y="4980332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28576</xdr:colOff>
      <xdr:row>33</xdr:row>
      <xdr:rowOff>19051</xdr:rowOff>
    </xdr:from>
    <xdr:to>
      <xdr:col>7</xdr:col>
      <xdr:colOff>238126</xdr:colOff>
      <xdr:row>33</xdr:row>
      <xdr:rowOff>152401</xdr:rowOff>
    </xdr:to>
    <xdr:pic>
      <xdr:nvPicPr>
        <xdr:cNvPr id="29296" name="Picture 117">
          <a:extLst>
            <a:ext uri="{FF2B5EF4-FFF2-40B4-BE49-F238E27FC236}">
              <a16:creationId xmlns:a16="http://schemas.microsoft.com/office/drawing/2014/main" id="{D2C98CA0-F98F-4509-8FEB-6B03C5019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4533" y="5630518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20293</xdr:colOff>
      <xdr:row>41</xdr:row>
      <xdr:rowOff>19051</xdr:rowOff>
    </xdr:from>
    <xdr:to>
      <xdr:col>7</xdr:col>
      <xdr:colOff>229843</xdr:colOff>
      <xdr:row>41</xdr:row>
      <xdr:rowOff>152401</xdr:rowOff>
    </xdr:to>
    <xdr:pic>
      <xdr:nvPicPr>
        <xdr:cNvPr id="29297" name="Picture 118">
          <a:extLst>
            <a:ext uri="{FF2B5EF4-FFF2-40B4-BE49-F238E27FC236}">
              <a16:creationId xmlns:a16="http://schemas.microsoft.com/office/drawing/2014/main" id="{B665E604-DDDD-4F90-BFD2-E5BB09F15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250" y="6922605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24433</xdr:colOff>
      <xdr:row>45</xdr:row>
      <xdr:rowOff>14909</xdr:rowOff>
    </xdr:from>
    <xdr:to>
      <xdr:col>7</xdr:col>
      <xdr:colOff>233983</xdr:colOff>
      <xdr:row>45</xdr:row>
      <xdr:rowOff>148259</xdr:rowOff>
    </xdr:to>
    <xdr:pic>
      <xdr:nvPicPr>
        <xdr:cNvPr id="29298" name="Picture 119">
          <a:extLst>
            <a:ext uri="{FF2B5EF4-FFF2-40B4-BE49-F238E27FC236}">
              <a16:creationId xmlns:a16="http://schemas.microsoft.com/office/drawing/2014/main" id="{68B69DD8-7B44-4C01-B968-2FF25D83D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0390" y="7564507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1194767</xdr:colOff>
      <xdr:row>53</xdr:row>
      <xdr:rowOff>14909</xdr:rowOff>
    </xdr:from>
    <xdr:to>
      <xdr:col>3</xdr:col>
      <xdr:colOff>1404317</xdr:colOff>
      <xdr:row>53</xdr:row>
      <xdr:rowOff>148259</xdr:rowOff>
    </xdr:to>
    <xdr:pic>
      <xdr:nvPicPr>
        <xdr:cNvPr id="29299" name="Picture 120">
          <a:extLst>
            <a:ext uri="{FF2B5EF4-FFF2-40B4-BE49-F238E27FC236}">
              <a16:creationId xmlns:a16="http://schemas.microsoft.com/office/drawing/2014/main" id="{EE3C37A3-5D45-47B1-96BD-88548189F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3006" y="8856594"/>
          <a:ext cx="2095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22777</xdr:colOff>
      <xdr:row>53</xdr:row>
      <xdr:rowOff>28575</xdr:rowOff>
    </xdr:from>
    <xdr:to>
      <xdr:col>7</xdr:col>
      <xdr:colOff>241852</xdr:colOff>
      <xdr:row>53</xdr:row>
      <xdr:rowOff>142875</xdr:rowOff>
    </xdr:to>
    <xdr:pic>
      <xdr:nvPicPr>
        <xdr:cNvPr id="29300" name="Picture 2">
          <a:extLst>
            <a:ext uri="{FF2B5EF4-FFF2-40B4-BE49-F238E27FC236}">
              <a16:creationId xmlns:a16="http://schemas.microsoft.com/office/drawing/2014/main" id="{B3BBE125-CA91-430A-97BF-0A059E6FD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34" y="8870260"/>
          <a:ext cx="2190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20293</xdr:colOff>
      <xdr:row>49</xdr:row>
      <xdr:rowOff>28576</xdr:rowOff>
    </xdr:from>
    <xdr:to>
      <xdr:col>7</xdr:col>
      <xdr:colOff>239368</xdr:colOff>
      <xdr:row>49</xdr:row>
      <xdr:rowOff>142876</xdr:rowOff>
    </xdr:to>
    <xdr:pic>
      <xdr:nvPicPr>
        <xdr:cNvPr id="29301" name="Picture 122">
          <a:extLst>
            <a:ext uri="{FF2B5EF4-FFF2-40B4-BE49-F238E27FC236}">
              <a16:creationId xmlns:a16="http://schemas.microsoft.com/office/drawing/2014/main" id="{5DFC8DDA-95B9-4488-9D34-2CADBF1F7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250" y="8224217"/>
          <a:ext cx="2190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1179858</xdr:colOff>
      <xdr:row>39</xdr:row>
      <xdr:rowOff>28574</xdr:rowOff>
    </xdr:from>
    <xdr:to>
      <xdr:col>3</xdr:col>
      <xdr:colOff>1398933</xdr:colOff>
      <xdr:row>39</xdr:row>
      <xdr:rowOff>142874</xdr:rowOff>
    </xdr:to>
    <xdr:pic>
      <xdr:nvPicPr>
        <xdr:cNvPr id="29302" name="Picture 123">
          <a:extLst>
            <a:ext uri="{FF2B5EF4-FFF2-40B4-BE49-F238E27FC236}">
              <a16:creationId xmlns:a16="http://schemas.microsoft.com/office/drawing/2014/main" id="{EA99ADEC-81B8-4148-B49C-838980209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097" y="6609107"/>
          <a:ext cx="2190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16152</xdr:colOff>
      <xdr:row>31</xdr:row>
      <xdr:rowOff>20293</xdr:rowOff>
    </xdr:from>
    <xdr:to>
      <xdr:col>7</xdr:col>
      <xdr:colOff>235227</xdr:colOff>
      <xdr:row>31</xdr:row>
      <xdr:rowOff>134593</xdr:rowOff>
    </xdr:to>
    <xdr:pic>
      <xdr:nvPicPr>
        <xdr:cNvPr id="29303" name="Picture 124">
          <a:extLst>
            <a:ext uri="{FF2B5EF4-FFF2-40B4-BE49-F238E27FC236}">
              <a16:creationId xmlns:a16="http://schemas.microsoft.com/office/drawing/2014/main" id="{781FF6E2-A97A-4047-AEFE-37518D7F9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2109" y="5308739"/>
          <a:ext cx="2190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1179858</xdr:colOff>
      <xdr:row>27</xdr:row>
      <xdr:rowOff>24434</xdr:rowOff>
    </xdr:from>
    <xdr:to>
      <xdr:col>3</xdr:col>
      <xdr:colOff>1398933</xdr:colOff>
      <xdr:row>27</xdr:row>
      <xdr:rowOff>138734</xdr:rowOff>
    </xdr:to>
    <xdr:pic>
      <xdr:nvPicPr>
        <xdr:cNvPr id="29304" name="Picture 125">
          <a:extLst>
            <a:ext uri="{FF2B5EF4-FFF2-40B4-BE49-F238E27FC236}">
              <a16:creationId xmlns:a16="http://schemas.microsoft.com/office/drawing/2014/main" id="{1B9163B9-0338-44CF-8A2B-3D10696F5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097" y="4666836"/>
          <a:ext cx="2190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1178615</xdr:colOff>
      <xdr:row>19</xdr:row>
      <xdr:rowOff>24433</xdr:rowOff>
    </xdr:from>
    <xdr:to>
      <xdr:col>3</xdr:col>
      <xdr:colOff>1397690</xdr:colOff>
      <xdr:row>19</xdr:row>
      <xdr:rowOff>138733</xdr:rowOff>
    </xdr:to>
    <xdr:pic>
      <xdr:nvPicPr>
        <xdr:cNvPr id="29305" name="Picture 126">
          <a:extLst>
            <a:ext uri="{FF2B5EF4-FFF2-40B4-BE49-F238E27FC236}">
              <a16:creationId xmlns:a16="http://schemas.microsoft.com/office/drawing/2014/main" id="{25DD0FC1-C24F-4AC2-94CC-B63E90BE6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6854" y="3374748"/>
          <a:ext cx="2190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21535</xdr:colOff>
      <xdr:row>15</xdr:row>
      <xdr:rowOff>24433</xdr:rowOff>
    </xdr:from>
    <xdr:to>
      <xdr:col>7</xdr:col>
      <xdr:colOff>240610</xdr:colOff>
      <xdr:row>15</xdr:row>
      <xdr:rowOff>138733</xdr:rowOff>
    </xdr:to>
    <xdr:pic>
      <xdr:nvPicPr>
        <xdr:cNvPr id="29306" name="Picture 127">
          <a:extLst>
            <a:ext uri="{FF2B5EF4-FFF2-40B4-BE49-F238E27FC236}">
              <a16:creationId xmlns:a16="http://schemas.microsoft.com/office/drawing/2014/main" id="{54224DD0-22B7-4F18-B727-8A5C5206D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7492" y="2728705"/>
          <a:ext cx="2190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26944</xdr:colOff>
      <xdr:row>23</xdr:row>
      <xdr:rowOff>21120</xdr:rowOff>
    </xdr:from>
    <xdr:to>
      <xdr:col>7</xdr:col>
      <xdr:colOff>219487</xdr:colOff>
      <xdr:row>23</xdr:row>
      <xdr:rowOff>152399</xdr:rowOff>
    </xdr:to>
    <xdr:pic>
      <xdr:nvPicPr>
        <xdr:cNvPr id="114" name="Picture 106" descr="rus">
          <a:extLst>
            <a:ext uri="{FF2B5EF4-FFF2-40B4-BE49-F238E27FC236}">
              <a16:creationId xmlns:a16="http://schemas.microsoft.com/office/drawing/2014/main" id="{7C664DEA-A1B7-4571-944B-DEBAB2A52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901" y="4017479"/>
          <a:ext cx="192543" cy="131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1202247</xdr:colOff>
      <xdr:row>33</xdr:row>
      <xdr:rowOff>12009</xdr:rowOff>
    </xdr:from>
    <xdr:to>
      <xdr:col>3</xdr:col>
      <xdr:colOff>1394790</xdr:colOff>
      <xdr:row>33</xdr:row>
      <xdr:rowOff>143288</xdr:rowOff>
    </xdr:to>
    <xdr:pic>
      <xdr:nvPicPr>
        <xdr:cNvPr id="115" name="Picture 106" descr="rus">
          <a:extLst>
            <a:ext uri="{FF2B5EF4-FFF2-40B4-BE49-F238E27FC236}">
              <a16:creationId xmlns:a16="http://schemas.microsoft.com/office/drawing/2014/main" id="{11343D86-F8D5-4F83-8078-7EC6D3169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0486" y="5623476"/>
          <a:ext cx="192543" cy="131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33570</xdr:colOff>
      <xdr:row>39</xdr:row>
      <xdr:rowOff>19463</xdr:rowOff>
    </xdr:from>
    <xdr:to>
      <xdr:col>7</xdr:col>
      <xdr:colOff>226113</xdr:colOff>
      <xdr:row>39</xdr:row>
      <xdr:rowOff>150742</xdr:rowOff>
    </xdr:to>
    <xdr:pic>
      <xdr:nvPicPr>
        <xdr:cNvPr id="116" name="Picture 106" descr="rus">
          <a:extLst>
            <a:ext uri="{FF2B5EF4-FFF2-40B4-BE49-F238E27FC236}">
              <a16:creationId xmlns:a16="http://schemas.microsoft.com/office/drawing/2014/main" id="{F7602194-41B7-4261-B97B-51DB7430E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9527" y="6599996"/>
          <a:ext cx="192543" cy="131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1200590</xdr:colOff>
      <xdr:row>47</xdr:row>
      <xdr:rowOff>18635</xdr:rowOff>
    </xdr:from>
    <xdr:to>
      <xdr:col>3</xdr:col>
      <xdr:colOff>1393133</xdr:colOff>
      <xdr:row>47</xdr:row>
      <xdr:rowOff>149914</xdr:rowOff>
    </xdr:to>
    <xdr:pic>
      <xdr:nvPicPr>
        <xdr:cNvPr id="117" name="Picture 106" descr="rus">
          <a:extLst>
            <a:ext uri="{FF2B5EF4-FFF2-40B4-BE49-F238E27FC236}">
              <a16:creationId xmlns:a16="http://schemas.microsoft.com/office/drawing/2014/main" id="{945BCC14-DB58-4BA7-8C21-627FEBD0E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8829" y="7891255"/>
          <a:ext cx="192543" cy="131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31914</xdr:colOff>
      <xdr:row>57</xdr:row>
      <xdr:rowOff>21949</xdr:rowOff>
    </xdr:from>
    <xdr:to>
      <xdr:col>7</xdr:col>
      <xdr:colOff>224457</xdr:colOff>
      <xdr:row>57</xdr:row>
      <xdr:rowOff>153228</xdr:rowOff>
    </xdr:to>
    <xdr:pic>
      <xdr:nvPicPr>
        <xdr:cNvPr id="118" name="Picture 106" descr="rus">
          <a:extLst>
            <a:ext uri="{FF2B5EF4-FFF2-40B4-BE49-F238E27FC236}">
              <a16:creationId xmlns:a16="http://schemas.microsoft.com/office/drawing/2014/main" id="{BA4F6990-1F3F-43A6-96DE-340587E6E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7871" y="9509677"/>
          <a:ext cx="192543" cy="131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1180273</xdr:colOff>
      <xdr:row>16</xdr:row>
      <xdr:rowOff>28989</xdr:rowOff>
    </xdr:from>
    <xdr:to>
      <xdr:col>3</xdr:col>
      <xdr:colOff>1403903</xdr:colOff>
      <xdr:row>16</xdr:row>
      <xdr:rowOff>140804</xdr:rowOff>
    </xdr:to>
    <xdr:pic>
      <xdr:nvPicPr>
        <xdr:cNvPr id="107" name="Рисунок 106">
          <a:extLst>
            <a:ext uri="{FF2B5EF4-FFF2-40B4-BE49-F238E27FC236}">
              <a16:creationId xmlns:a16="http://schemas.microsoft.com/office/drawing/2014/main" id="{7BC1F7BC-0A2B-4C79-A57C-C4FC7019B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512" y="2894772"/>
          <a:ext cx="223630" cy="111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24020</xdr:colOff>
      <xdr:row>10</xdr:row>
      <xdr:rowOff>28162</xdr:rowOff>
    </xdr:from>
    <xdr:to>
      <xdr:col>7</xdr:col>
      <xdr:colOff>247650</xdr:colOff>
      <xdr:row>10</xdr:row>
      <xdr:rowOff>139977</xdr:rowOff>
    </xdr:to>
    <xdr:pic>
      <xdr:nvPicPr>
        <xdr:cNvPr id="108" name="Рисунок 107">
          <a:extLst>
            <a:ext uri="{FF2B5EF4-FFF2-40B4-BE49-F238E27FC236}">
              <a16:creationId xmlns:a16="http://schemas.microsoft.com/office/drawing/2014/main" id="{13A59A26-729F-4360-949D-BBB88A035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977" y="1924879"/>
          <a:ext cx="223630" cy="111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1180272</xdr:colOff>
      <xdr:row>26</xdr:row>
      <xdr:rowOff>24848</xdr:rowOff>
    </xdr:from>
    <xdr:to>
      <xdr:col>3</xdr:col>
      <xdr:colOff>1403902</xdr:colOff>
      <xdr:row>26</xdr:row>
      <xdr:rowOff>136663</xdr:rowOff>
    </xdr:to>
    <xdr:pic>
      <xdr:nvPicPr>
        <xdr:cNvPr id="109" name="Рисунок 108">
          <a:extLst>
            <a:ext uri="{FF2B5EF4-FFF2-40B4-BE49-F238E27FC236}">
              <a16:creationId xmlns:a16="http://schemas.microsoft.com/office/drawing/2014/main" id="{7227639D-04EB-458E-A388-1314A5A63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511" y="4505739"/>
          <a:ext cx="223630" cy="111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19878</xdr:colOff>
      <xdr:row>30</xdr:row>
      <xdr:rowOff>28160</xdr:rowOff>
    </xdr:from>
    <xdr:to>
      <xdr:col>7</xdr:col>
      <xdr:colOff>243508</xdr:colOff>
      <xdr:row>30</xdr:row>
      <xdr:rowOff>139975</xdr:rowOff>
    </xdr:to>
    <xdr:pic>
      <xdr:nvPicPr>
        <xdr:cNvPr id="110" name="Рисунок 109">
          <a:extLst>
            <a:ext uri="{FF2B5EF4-FFF2-40B4-BE49-F238E27FC236}">
              <a16:creationId xmlns:a16="http://schemas.microsoft.com/office/drawing/2014/main" id="{597B60F4-A992-4AA2-84F9-602E7110D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5835" y="5155095"/>
          <a:ext cx="223630" cy="111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1176131</xdr:colOff>
      <xdr:row>40</xdr:row>
      <xdr:rowOff>24848</xdr:rowOff>
    </xdr:from>
    <xdr:to>
      <xdr:col>3</xdr:col>
      <xdr:colOff>1399761</xdr:colOff>
      <xdr:row>40</xdr:row>
      <xdr:rowOff>136663</xdr:rowOff>
    </xdr:to>
    <xdr:pic>
      <xdr:nvPicPr>
        <xdr:cNvPr id="111" name="Рисунок 110">
          <a:extLst>
            <a:ext uri="{FF2B5EF4-FFF2-40B4-BE49-F238E27FC236}">
              <a16:creationId xmlns:a16="http://schemas.microsoft.com/office/drawing/2014/main" id="{284DED54-12DD-4F2D-89F4-27F6793AC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4370" y="6766891"/>
          <a:ext cx="223630" cy="111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24848</xdr:colOff>
      <xdr:row>48</xdr:row>
      <xdr:rowOff>33131</xdr:rowOff>
    </xdr:from>
    <xdr:to>
      <xdr:col>7</xdr:col>
      <xdr:colOff>248478</xdr:colOff>
      <xdr:row>48</xdr:row>
      <xdr:rowOff>144946</xdr:rowOff>
    </xdr:to>
    <xdr:pic>
      <xdr:nvPicPr>
        <xdr:cNvPr id="112" name="Рисунок 111">
          <a:extLst>
            <a:ext uri="{FF2B5EF4-FFF2-40B4-BE49-F238E27FC236}">
              <a16:creationId xmlns:a16="http://schemas.microsoft.com/office/drawing/2014/main" id="{334410E2-3026-44EC-A926-083BAAA15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0805" y="8067261"/>
          <a:ext cx="223630" cy="111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16565</xdr:colOff>
      <xdr:row>52</xdr:row>
      <xdr:rowOff>28989</xdr:rowOff>
    </xdr:from>
    <xdr:to>
      <xdr:col>7</xdr:col>
      <xdr:colOff>240195</xdr:colOff>
      <xdr:row>52</xdr:row>
      <xdr:rowOff>140804</xdr:rowOff>
    </xdr:to>
    <xdr:pic>
      <xdr:nvPicPr>
        <xdr:cNvPr id="113" name="Рисунок 112">
          <a:extLst>
            <a:ext uri="{FF2B5EF4-FFF2-40B4-BE49-F238E27FC236}">
              <a16:creationId xmlns:a16="http://schemas.microsoft.com/office/drawing/2014/main" id="{4C429942-6643-42E2-8EA9-B28927B2E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2522" y="8709163"/>
          <a:ext cx="223630" cy="111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cely.com/ice-hockey/world-championship-2020-schedule.shtml" TargetMode="External"/><Relationship Id="rId2" Type="http://schemas.openxmlformats.org/officeDocument/2006/relationships/hyperlink" Target="http://www.excely.com/ice-hockey/world-cup-2009-schedule/" TargetMode="External"/><Relationship Id="rId1" Type="http://schemas.openxmlformats.org/officeDocument/2006/relationships/hyperlink" Target="http://www.iihf.com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wallchart.io/ice-hockey/world-championship-202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66"/>
  <sheetViews>
    <sheetView workbookViewId="0">
      <pane ySplit="1" topLeftCell="A2" activePane="bottomLeft" state="frozen"/>
      <selection pane="bottomLeft"/>
    </sheetView>
  </sheetViews>
  <sheetFormatPr defaultRowHeight="11.25" x14ac:dyDescent="0.2"/>
  <cols>
    <col min="1" max="16384" width="9.140625" style="2"/>
  </cols>
  <sheetData>
    <row r="1" spans="1:4" s="1" customFormat="1" x14ac:dyDescent="0.2">
      <c r="A1" s="1" t="s">
        <v>17</v>
      </c>
      <c r="B1" s="1" t="s">
        <v>43</v>
      </c>
      <c r="C1" s="1" t="s">
        <v>44</v>
      </c>
      <c r="D1" s="1" t="s">
        <v>45</v>
      </c>
    </row>
    <row r="2" spans="1:4" x14ac:dyDescent="0.2">
      <c r="A2" s="77" t="s">
        <v>228</v>
      </c>
      <c r="B2" s="2" t="s">
        <v>229</v>
      </c>
      <c r="C2" s="2" t="s">
        <v>229</v>
      </c>
      <c r="D2" s="2" t="s">
        <v>229</v>
      </c>
    </row>
    <row r="3" spans="1:4" x14ac:dyDescent="0.2">
      <c r="A3" s="2" t="s">
        <v>10</v>
      </c>
      <c r="B3" s="2" t="s">
        <v>197</v>
      </c>
      <c r="C3" s="2" t="s">
        <v>198</v>
      </c>
      <c r="D3" s="2" t="s">
        <v>199</v>
      </c>
    </row>
    <row r="4" spans="1:4" x14ac:dyDescent="0.2">
      <c r="A4" s="2" t="s">
        <v>12</v>
      </c>
      <c r="B4" s="2" t="s">
        <v>202</v>
      </c>
      <c r="C4" s="2" t="s">
        <v>201</v>
      </c>
      <c r="D4" s="2" t="s">
        <v>200</v>
      </c>
    </row>
    <row r="5" spans="1:4" x14ac:dyDescent="0.2">
      <c r="A5" s="2" t="s">
        <v>13</v>
      </c>
      <c r="B5" s="2" t="s">
        <v>48</v>
      </c>
      <c r="C5" s="2" t="s">
        <v>49</v>
      </c>
      <c r="D5" s="2" t="s">
        <v>50</v>
      </c>
    </row>
    <row r="6" spans="1:4" x14ac:dyDescent="0.2">
      <c r="A6" s="2" t="s">
        <v>14</v>
      </c>
      <c r="B6" s="2" t="s">
        <v>51</v>
      </c>
      <c r="C6" s="2" t="s">
        <v>52</v>
      </c>
      <c r="D6" s="2" t="s">
        <v>53</v>
      </c>
    </row>
    <row r="7" spans="1:4" x14ac:dyDescent="0.2">
      <c r="A7" s="2" t="s">
        <v>34</v>
      </c>
      <c r="B7" s="2" t="s">
        <v>54</v>
      </c>
      <c r="C7" s="2" t="s">
        <v>55</v>
      </c>
      <c r="D7" s="2" t="s">
        <v>56</v>
      </c>
    </row>
    <row r="8" spans="1:4" x14ac:dyDescent="0.2">
      <c r="A8" s="2" t="s">
        <v>11</v>
      </c>
      <c r="B8" s="2" t="s">
        <v>57</v>
      </c>
      <c r="C8" s="2" t="s">
        <v>57</v>
      </c>
      <c r="D8" s="2" t="s">
        <v>11</v>
      </c>
    </row>
    <row r="9" spans="1:4" x14ac:dyDescent="0.2">
      <c r="A9" s="2" t="s">
        <v>18</v>
      </c>
      <c r="B9" s="2" t="s">
        <v>58</v>
      </c>
      <c r="C9" s="2" t="s">
        <v>59</v>
      </c>
      <c r="D9" s="2" t="s">
        <v>60</v>
      </c>
    </row>
    <row r="10" spans="1:4" x14ac:dyDescent="0.2">
      <c r="A10" s="2" t="s">
        <v>196</v>
      </c>
      <c r="B10" s="2" t="s">
        <v>203</v>
      </c>
      <c r="C10" s="2" t="s">
        <v>204</v>
      </c>
      <c r="D10" s="2" t="s">
        <v>204</v>
      </c>
    </row>
    <row r="11" spans="1:4" x14ac:dyDescent="0.2">
      <c r="A11" s="2" t="s">
        <v>1</v>
      </c>
      <c r="B11" s="2" t="s">
        <v>156</v>
      </c>
      <c r="C11" s="2" t="s">
        <v>62</v>
      </c>
      <c r="D11" s="2" t="s">
        <v>61</v>
      </c>
    </row>
    <row r="12" spans="1:4" x14ac:dyDescent="0.2">
      <c r="A12" s="2" t="s">
        <v>161</v>
      </c>
      <c r="B12" s="2" t="str">
        <f>"OT-" &amp; B11</f>
        <v>OT-S</v>
      </c>
      <c r="C12" s="2" t="str">
        <f>"OT-" &amp; C11</f>
        <v>OT-V</v>
      </c>
      <c r="D12" s="2" t="str">
        <f>"OT-" &amp; D11</f>
        <v>OT-G</v>
      </c>
    </row>
    <row r="13" spans="1:4" x14ac:dyDescent="0.2">
      <c r="A13" s="2" t="s">
        <v>162</v>
      </c>
      <c r="B13" s="2" t="str">
        <f>"OT-" &amp; B14</f>
        <v>OT-N</v>
      </c>
      <c r="C13" s="2" t="str">
        <f>"OT-" &amp; C14</f>
        <v>OT-D</v>
      </c>
      <c r="D13" s="2" t="str">
        <f>"OT-" &amp; D14</f>
        <v>OT-P</v>
      </c>
    </row>
    <row r="14" spans="1:4" x14ac:dyDescent="0.2">
      <c r="A14" s="2" t="s">
        <v>3</v>
      </c>
      <c r="B14" s="2" t="s">
        <v>157</v>
      </c>
      <c r="C14" s="2" t="s">
        <v>2</v>
      </c>
      <c r="D14" s="2" t="s">
        <v>63</v>
      </c>
    </row>
    <row r="15" spans="1:4" x14ac:dyDescent="0.2">
      <c r="A15" s="2" t="s">
        <v>16</v>
      </c>
      <c r="B15" s="2" t="s">
        <v>158</v>
      </c>
      <c r="C15" s="2" t="s">
        <v>159</v>
      </c>
      <c r="D15" s="2" t="s">
        <v>160</v>
      </c>
    </row>
    <row r="16" spans="1:4" x14ac:dyDescent="0.2">
      <c r="A16" s="2" t="s">
        <v>193</v>
      </c>
      <c r="B16" s="2" t="s">
        <v>194</v>
      </c>
      <c r="C16" s="2" t="s">
        <v>195</v>
      </c>
      <c r="D16" s="2" t="s">
        <v>195</v>
      </c>
    </row>
    <row r="17" spans="1:4" x14ac:dyDescent="0.2">
      <c r="A17" s="92" t="s">
        <v>234</v>
      </c>
      <c r="B17" s="92" t="s">
        <v>234</v>
      </c>
      <c r="C17" s="92" t="s">
        <v>234</v>
      </c>
      <c r="D17" s="92" t="s">
        <v>234</v>
      </c>
    </row>
    <row r="18" spans="1:4" x14ac:dyDescent="0.2">
      <c r="A18" s="92" t="s">
        <v>235</v>
      </c>
      <c r="B18" s="92" t="s">
        <v>235</v>
      </c>
      <c r="C18" s="92" t="s">
        <v>235</v>
      </c>
      <c r="D18" s="92" t="s">
        <v>235</v>
      </c>
    </row>
    <row r="19" spans="1:4" x14ac:dyDescent="0.2">
      <c r="A19" s="2" t="s">
        <v>146</v>
      </c>
      <c r="B19" s="2" t="s">
        <v>146</v>
      </c>
      <c r="C19" s="2" t="s">
        <v>146</v>
      </c>
      <c r="D19" s="2" t="s">
        <v>146</v>
      </c>
    </row>
    <row r="20" spans="1:4" x14ac:dyDescent="0.2">
      <c r="A20" s="2" t="s">
        <v>147</v>
      </c>
      <c r="B20" s="2" t="s">
        <v>147</v>
      </c>
      <c r="C20" s="2" t="s">
        <v>147</v>
      </c>
      <c r="D20" s="2" t="s">
        <v>147</v>
      </c>
    </row>
    <row r="21" spans="1:4" x14ac:dyDescent="0.2">
      <c r="A21" s="2" t="s">
        <v>148</v>
      </c>
      <c r="B21" s="2" t="s">
        <v>148</v>
      </c>
      <c r="C21" s="2" t="s">
        <v>148</v>
      </c>
      <c r="D21" s="2" t="s">
        <v>148</v>
      </c>
    </row>
    <row r="22" spans="1:4" x14ac:dyDescent="0.2">
      <c r="A22" s="2" t="s">
        <v>149</v>
      </c>
      <c r="B22" s="2" t="s">
        <v>149</v>
      </c>
      <c r="C22" s="2" t="s">
        <v>149</v>
      </c>
      <c r="D22" s="2" t="s">
        <v>149</v>
      </c>
    </row>
    <row r="23" spans="1:4" x14ac:dyDescent="0.2">
      <c r="A23" s="2" t="s">
        <v>150</v>
      </c>
      <c r="B23" s="2" t="s">
        <v>150</v>
      </c>
      <c r="C23" s="2" t="s">
        <v>150</v>
      </c>
      <c r="D23" s="2" t="s">
        <v>150</v>
      </c>
    </row>
    <row r="24" spans="1:4" x14ac:dyDescent="0.2">
      <c r="A24" s="2" t="s">
        <v>151</v>
      </c>
      <c r="B24" s="2" t="s">
        <v>151</v>
      </c>
      <c r="C24" s="2" t="s">
        <v>151</v>
      </c>
      <c r="D24" s="2" t="s">
        <v>151</v>
      </c>
    </row>
    <row r="25" spans="1:4" x14ac:dyDescent="0.2">
      <c r="A25" s="2" t="s">
        <v>152</v>
      </c>
      <c r="B25" s="2" t="s">
        <v>152</v>
      </c>
      <c r="C25" s="2" t="s">
        <v>152</v>
      </c>
      <c r="D25" s="2" t="s">
        <v>152</v>
      </c>
    </row>
    <row r="26" spans="1:4" x14ac:dyDescent="0.2">
      <c r="A26" s="2" t="s">
        <v>64</v>
      </c>
      <c r="B26" s="2" t="s">
        <v>64</v>
      </c>
      <c r="C26" s="2" t="s">
        <v>163</v>
      </c>
      <c r="D26" s="2" t="s">
        <v>164</v>
      </c>
    </row>
    <row r="27" spans="1:4" x14ac:dyDescent="0.2">
      <c r="A27" s="2" t="s">
        <v>65</v>
      </c>
      <c r="B27" s="2" t="s">
        <v>65</v>
      </c>
      <c r="C27" s="2" t="s">
        <v>165</v>
      </c>
      <c r="D27" s="2" t="s">
        <v>65</v>
      </c>
    </row>
    <row r="28" spans="1:4" x14ac:dyDescent="0.2">
      <c r="A28" s="2" t="s">
        <v>153</v>
      </c>
      <c r="B28" s="2" t="s">
        <v>166</v>
      </c>
      <c r="C28" s="2" t="s">
        <v>167</v>
      </c>
      <c r="D28" s="2" t="s">
        <v>153</v>
      </c>
    </row>
    <row r="29" spans="1:4" x14ac:dyDescent="0.2">
      <c r="A29" s="2" t="s">
        <v>66</v>
      </c>
      <c r="B29" s="2" t="s">
        <v>66</v>
      </c>
      <c r="C29" s="2" t="s">
        <v>168</v>
      </c>
      <c r="D29" s="2" t="s">
        <v>169</v>
      </c>
    </row>
    <row r="30" spans="1:4" x14ac:dyDescent="0.2">
      <c r="A30" s="2" t="s">
        <v>154</v>
      </c>
      <c r="B30" s="2" t="s">
        <v>67</v>
      </c>
      <c r="C30" s="2" t="s">
        <v>67</v>
      </c>
      <c r="D30" s="2" t="s">
        <v>154</v>
      </c>
    </row>
    <row r="31" spans="1:4" x14ac:dyDescent="0.2">
      <c r="A31" s="2" t="s">
        <v>68</v>
      </c>
      <c r="B31" s="2" t="s">
        <v>68</v>
      </c>
      <c r="C31" s="2" t="s">
        <v>75</v>
      </c>
      <c r="D31" s="2" t="s">
        <v>68</v>
      </c>
    </row>
    <row r="32" spans="1:4" x14ac:dyDescent="0.2">
      <c r="A32" s="2" t="s">
        <v>69</v>
      </c>
      <c r="B32" s="2" t="s">
        <v>69</v>
      </c>
      <c r="C32" s="2" t="s">
        <v>76</v>
      </c>
      <c r="D32" s="2" t="s">
        <v>69</v>
      </c>
    </row>
    <row r="33" spans="1:4" x14ac:dyDescent="0.2">
      <c r="A33" s="2" t="s">
        <v>70</v>
      </c>
      <c r="B33" s="2" t="s">
        <v>70</v>
      </c>
      <c r="C33" s="2" t="s">
        <v>170</v>
      </c>
      <c r="D33" s="2" t="s">
        <v>171</v>
      </c>
    </row>
    <row r="34" spans="1:4" x14ac:dyDescent="0.2">
      <c r="A34" s="2" t="s">
        <v>71</v>
      </c>
      <c r="B34" s="2" t="s">
        <v>71</v>
      </c>
      <c r="C34" s="2" t="s">
        <v>172</v>
      </c>
      <c r="D34" s="2" t="s">
        <v>71</v>
      </c>
    </row>
    <row r="35" spans="1:4" x14ac:dyDescent="0.2">
      <c r="A35" s="2" t="s">
        <v>72</v>
      </c>
      <c r="B35" s="2" t="s">
        <v>173</v>
      </c>
      <c r="C35" s="2" t="s">
        <v>72</v>
      </c>
      <c r="D35" s="2" t="s">
        <v>72</v>
      </c>
    </row>
    <row r="36" spans="1:4" x14ac:dyDescent="0.2">
      <c r="A36" s="2" t="s">
        <v>73</v>
      </c>
      <c r="B36" s="2" t="s">
        <v>73</v>
      </c>
      <c r="C36" s="2" t="s">
        <v>73</v>
      </c>
      <c r="D36" s="2" t="s">
        <v>73</v>
      </c>
    </row>
    <row r="37" spans="1:4" x14ac:dyDescent="0.2">
      <c r="A37" s="2" t="s">
        <v>155</v>
      </c>
      <c r="B37" s="2" t="s">
        <v>74</v>
      </c>
      <c r="C37" s="2" t="s">
        <v>174</v>
      </c>
      <c r="D37" s="2" t="s">
        <v>175</v>
      </c>
    </row>
    <row r="38" spans="1:4" x14ac:dyDescent="0.2">
      <c r="A38" s="75" t="s">
        <v>25</v>
      </c>
      <c r="B38" s="75" t="s">
        <v>206</v>
      </c>
      <c r="C38" s="75" t="s">
        <v>25</v>
      </c>
      <c r="D38" s="75" t="s">
        <v>205</v>
      </c>
    </row>
    <row r="39" spans="1:4" x14ac:dyDescent="0.2">
      <c r="A39" s="92" t="s">
        <v>212</v>
      </c>
      <c r="B39" s="92" t="s">
        <v>214</v>
      </c>
      <c r="C39" s="92" t="s">
        <v>212</v>
      </c>
      <c r="D39" s="92" t="s">
        <v>213</v>
      </c>
    </row>
    <row r="40" spans="1:4" x14ac:dyDescent="0.2">
      <c r="A40" s="75" t="s">
        <v>23</v>
      </c>
      <c r="B40" s="75" t="s">
        <v>23</v>
      </c>
      <c r="C40" s="75" t="s">
        <v>179</v>
      </c>
      <c r="D40" s="75" t="s">
        <v>180</v>
      </c>
    </row>
    <row r="41" spans="1:4" x14ac:dyDescent="0.2">
      <c r="A41" s="92" t="s">
        <v>31</v>
      </c>
      <c r="B41" s="92" t="s">
        <v>176</v>
      </c>
      <c r="C41" s="92" t="s">
        <v>177</v>
      </c>
      <c r="D41" s="92" t="s">
        <v>178</v>
      </c>
    </row>
    <row r="42" spans="1:4" x14ac:dyDescent="0.2">
      <c r="A42" s="92" t="s">
        <v>240</v>
      </c>
      <c r="B42" s="92" t="s">
        <v>243</v>
      </c>
      <c r="C42" s="92" t="s">
        <v>241</v>
      </c>
      <c r="D42" s="92" t="s">
        <v>242</v>
      </c>
    </row>
    <row r="43" spans="1:4" x14ac:dyDescent="0.2">
      <c r="A43" s="75" t="s">
        <v>21</v>
      </c>
      <c r="B43" s="75" t="s">
        <v>77</v>
      </c>
      <c r="C43" s="75" t="s">
        <v>78</v>
      </c>
      <c r="D43" s="75" t="s">
        <v>79</v>
      </c>
    </row>
    <row r="44" spans="1:4" x14ac:dyDescent="0.2">
      <c r="A44" s="75" t="s">
        <v>30</v>
      </c>
      <c r="B44" s="75" t="s">
        <v>80</v>
      </c>
      <c r="C44" s="75" t="s">
        <v>81</v>
      </c>
      <c r="D44" s="75" t="s">
        <v>82</v>
      </c>
    </row>
    <row r="45" spans="1:4" x14ac:dyDescent="0.2">
      <c r="A45" s="92" t="s">
        <v>230</v>
      </c>
      <c r="B45" s="92" t="s">
        <v>231</v>
      </c>
      <c r="C45" s="92" t="s">
        <v>232</v>
      </c>
      <c r="D45" s="92" t="s">
        <v>233</v>
      </c>
    </row>
    <row r="46" spans="1:4" x14ac:dyDescent="0.2">
      <c r="A46" s="75" t="s">
        <v>22</v>
      </c>
      <c r="B46" s="75" t="s">
        <v>85</v>
      </c>
      <c r="C46" s="75" t="s">
        <v>86</v>
      </c>
      <c r="D46" s="75" t="s">
        <v>87</v>
      </c>
    </row>
    <row r="47" spans="1:4" x14ac:dyDescent="0.2">
      <c r="A47" s="75" t="s">
        <v>26</v>
      </c>
      <c r="B47" s="75" t="s">
        <v>26</v>
      </c>
      <c r="C47" s="75" t="s">
        <v>207</v>
      </c>
      <c r="D47" s="75" t="s">
        <v>208</v>
      </c>
    </row>
    <row r="48" spans="1:4" x14ac:dyDescent="0.2">
      <c r="A48" s="75" t="s">
        <v>27</v>
      </c>
      <c r="B48" s="75" t="s">
        <v>181</v>
      </c>
      <c r="C48" s="75" t="s">
        <v>182</v>
      </c>
      <c r="D48" s="75" t="s">
        <v>183</v>
      </c>
    </row>
    <row r="49" spans="1:4" x14ac:dyDescent="0.2">
      <c r="A49" s="92" t="s">
        <v>215</v>
      </c>
      <c r="B49" s="92" t="s">
        <v>216</v>
      </c>
      <c r="C49" s="92" t="s">
        <v>217</v>
      </c>
      <c r="D49" s="92" t="s">
        <v>218</v>
      </c>
    </row>
    <row r="50" spans="1:4" x14ac:dyDescent="0.2">
      <c r="A50" s="75" t="s">
        <v>28</v>
      </c>
      <c r="B50" s="75" t="s">
        <v>184</v>
      </c>
      <c r="C50" s="75" t="s">
        <v>185</v>
      </c>
      <c r="D50" s="75" t="s">
        <v>186</v>
      </c>
    </row>
    <row r="51" spans="1:4" x14ac:dyDescent="0.2">
      <c r="A51" s="75" t="s">
        <v>32</v>
      </c>
      <c r="B51" s="75" t="s">
        <v>88</v>
      </c>
      <c r="C51" s="75" t="s">
        <v>89</v>
      </c>
      <c r="D51" s="75" t="s">
        <v>90</v>
      </c>
    </row>
    <row r="52" spans="1:4" x14ac:dyDescent="0.2">
      <c r="A52" s="75" t="s">
        <v>29</v>
      </c>
      <c r="B52" s="75" t="s">
        <v>187</v>
      </c>
      <c r="C52" s="75" t="s">
        <v>188</v>
      </c>
      <c r="D52" s="75" t="s">
        <v>189</v>
      </c>
    </row>
    <row r="53" spans="1:4" x14ac:dyDescent="0.2">
      <c r="A53" s="75" t="s">
        <v>33</v>
      </c>
      <c r="B53" s="75" t="s">
        <v>190</v>
      </c>
      <c r="C53" s="75" t="s">
        <v>191</v>
      </c>
      <c r="D53" s="75" t="s">
        <v>192</v>
      </c>
    </row>
    <row r="54" spans="1:4" x14ac:dyDescent="0.2">
      <c r="A54" s="75" t="s">
        <v>6</v>
      </c>
      <c r="B54" s="75" t="s">
        <v>6</v>
      </c>
      <c r="C54" s="75" t="s">
        <v>209</v>
      </c>
      <c r="D54" s="75" t="s">
        <v>210</v>
      </c>
    </row>
    <row r="55" spans="1:4" x14ac:dyDescent="0.2">
      <c r="A55" s="2" t="s">
        <v>35</v>
      </c>
      <c r="B55" s="2" t="s">
        <v>91</v>
      </c>
      <c r="C55" s="2" t="s">
        <v>92</v>
      </c>
      <c r="D55" s="2" t="s">
        <v>93</v>
      </c>
    </row>
    <row r="56" spans="1:4" x14ac:dyDescent="0.2">
      <c r="A56" s="2" t="s">
        <v>36</v>
      </c>
      <c r="B56" s="2" t="s">
        <v>94</v>
      </c>
      <c r="C56" s="2" t="s">
        <v>95</v>
      </c>
      <c r="D56" s="2" t="s">
        <v>96</v>
      </c>
    </row>
    <row r="57" spans="1:4" x14ac:dyDescent="0.2">
      <c r="A57" s="2" t="s">
        <v>37</v>
      </c>
      <c r="B57" s="2" t="s">
        <v>97</v>
      </c>
      <c r="C57" s="2" t="s">
        <v>98</v>
      </c>
      <c r="D57" s="2" t="s">
        <v>99</v>
      </c>
    </row>
    <row r="58" spans="1:4" x14ac:dyDescent="0.2">
      <c r="A58" s="2" t="s">
        <v>38</v>
      </c>
      <c r="B58" s="2" t="s">
        <v>100</v>
      </c>
      <c r="C58" s="2" t="s">
        <v>101</v>
      </c>
      <c r="D58" s="2" t="s">
        <v>102</v>
      </c>
    </row>
    <row r="59" spans="1:4" x14ac:dyDescent="0.2">
      <c r="A59" s="2" t="s">
        <v>39</v>
      </c>
      <c r="B59" s="2" t="s">
        <v>103</v>
      </c>
      <c r="C59" s="2" t="s">
        <v>104</v>
      </c>
      <c r="D59" s="2" t="s">
        <v>105</v>
      </c>
    </row>
    <row r="60" spans="1:4" x14ac:dyDescent="0.2">
      <c r="A60" s="2" t="s">
        <v>40</v>
      </c>
      <c r="B60" s="2" t="s">
        <v>106</v>
      </c>
      <c r="C60" s="2" t="s">
        <v>107</v>
      </c>
      <c r="D60" s="2" t="s">
        <v>105</v>
      </c>
    </row>
    <row r="61" spans="1:4" x14ac:dyDescent="0.2">
      <c r="A61" s="2" t="s">
        <v>41</v>
      </c>
      <c r="B61" s="2" t="s">
        <v>108</v>
      </c>
      <c r="C61" s="2" t="s">
        <v>109</v>
      </c>
      <c r="D61" s="2" t="s">
        <v>110</v>
      </c>
    </row>
    <row r="62" spans="1:4" x14ac:dyDescent="0.2">
      <c r="A62" s="2" t="s">
        <v>42</v>
      </c>
      <c r="B62" s="2" t="s">
        <v>111</v>
      </c>
      <c r="C62" s="2" t="s">
        <v>112</v>
      </c>
      <c r="D62" s="2" t="s">
        <v>110</v>
      </c>
    </row>
    <row r="63" spans="1:4" x14ac:dyDescent="0.2">
      <c r="A63" s="2" t="s">
        <v>236</v>
      </c>
      <c r="B63" s="2" t="s">
        <v>237</v>
      </c>
      <c r="C63" s="2" t="s">
        <v>238</v>
      </c>
      <c r="D63" s="2" t="s">
        <v>239</v>
      </c>
    </row>
    <row r="64" spans="1:4" x14ac:dyDescent="0.2">
      <c r="A64" s="103" t="s">
        <v>219</v>
      </c>
      <c r="B64" s="103" t="s">
        <v>220</v>
      </c>
      <c r="C64" s="103" t="s">
        <v>221</v>
      </c>
      <c r="D64" s="103" t="s">
        <v>222</v>
      </c>
    </row>
    <row r="65" spans="1:4" x14ac:dyDescent="0.2">
      <c r="A65" s="103" t="s">
        <v>223</v>
      </c>
      <c r="B65" s="103" t="s">
        <v>224</v>
      </c>
      <c r="C65" s="103" t="s">
        <v>225</v>
      </c>
      <c r="D65" s="103" t="s">
        <v>223</v>
      </c>
    </row>
    <row r="66" spans="1:4" x14ac:dyDescent="0.2">
      <c r="A66" s="103" t="s">
        <v>24</v>
      </c>
      <c r="B66" s="103" t="s">
        <v>83</v>
      </c>
      <c r="C66" s="103" t="s">
        <v>24</v>
      </c>
      <c r="D66" s="103" t="s">
        <v>84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F45"/>
  <sheetViews>
    <sheetView showGridLines="0" workbookViewId="0">
      <selection activeCell="C4" sqref="C4"/>
    </sheetView>
  </sheetViews>
  <sheetFormatPr defaultRowHeight="12.75" x14ac:dyDescent="0.2"/>
  <cols>
    <col min="1" max="1" width="2.140625" style="9" customWidth="1"/>
    <col min="2" max="2" width="18" style="9" customWidth="1"/>
    <col min="3" max="3" width="21.42578125" style="10" customWidth="1"/>
    <col min="4" max="4" width="2.5703125" style="9" customWidth="1"/>
    <col min="5" max="5" width="2.140625" style="9" customWidth="1"/>
    <col min="6" max="16384" width="9.140625" style="9"/>
  </cols>
  <sheetData>
    <row r="2" spans="2:5" ht="16.5" thickBot="1" x14ac:dyDescent="0.3">
      <c r="B2" s="11" t="s">
        <v>143</v>
      </c>
      <c r="C2" s="12"/>
      <c r="D2" s="13"/>
    </row>
    <row r="3" spans="2:5" x14ac:dyDescent="0.2">
      <c r="B3" s="14"/>
      <c r="C3" s="15"/>
      <c r="D3" s="16"/>
    </row>
    <row r="4" spans="2:5" x14ac:dyDescent="0.2">
      <c r="B4" s="17" t="s">
        <v>47</v>
      </c>
      <c r="C4" s="22" t="s">
        <v>17</v>
      </c>
      <c r="D4" s="16"/>
    </row>
    <row r="5" spans="2:5" x14ac:dyDescent="0.2">
      <c r="B5" s="14"/>
      <c r="C5" s="15"/>
      <c r="D5" s="16"/>
    </row>
    <row r="6" spans="2:5" x14ac:dyDescent="0.2">
      <c r="B6" s="17" t="s">
        <v>113</v>
      </c>
      <c r="C6" s="22" t="s">
        <v>19</v>
      </c>
      <c r="D6" s="16"/>
    </row>
    <row r="7" spans="2:5" x14ac:dyDescent="0.2">
      <c r="B7" s="14"/>
      <c r="C7" s="15"/>
      <c r="D7" s="16"/>
    </row>
    <row r="8" spans="2:5" x14ac:dyDescent="0.2">
      <c r="B8" s="17" t="s">
        <v>114</v>
      </c>
      <c r="C8" s="18" t="s">
        <v>115</v>
      </c>
      <c r="D8" s="16"/>
    </row>
    <row r="9" spans="2:5" x14ac:dyDescent="0.2">
      <c r="B9" s="14"/>
      <c r="C9" s="15"/>
      <c r="D9" s="16"/>
    </row>
    <row r="10" spans="2:5" x14ac:dyDescent="0.2">
      <c r="B10" s="17" t="s">
        <v>116</v>
      </c>
      <c r="C10" s="18" t="s">
        <v>117</v>
      </c>
      <c r="D10" s="16"/>
    </row>
    <row r="11" spans="2:5" x14ac:dyDescent="0.2">
      <c r="B11" s="19"/>
      <c r="C11" s="20"/>
      <c r="D11" s="21"/>
    </row>
    <row r="12" spans="2:5" s="94" customFormat="1" x14ac:dyDescent="0.2">
      <c r="B12" s="80"/>
      <c r="C12" s="80"/>
      <c r="D12" s="80"/>
      <c r="E12" s="93"/>
    </row>
    <row r="13" spans="2:5" s="96" customFormat="1" x14ac:dyDescent="0.2">
      <c r="B13" s="79" t="s">
        <v>144</v>
      </c>
      <c r="C13" s="79">
        <f>IF(ISERROR(MATCH(C4,lang_list,0)),1,MATCH(C4,lang_list,0))</f>
        <v>1</v>
      </c>
      <c r="D13" s="79"/>
      <c r="E13" s="95"/>
    </row>
    <row r="14" spans="2:5" s="96" customFormat="1" x14ac:dyDescent="0.2">
      <c r="B14" s="80" t="s">
        <v>145</v>
      </c>
      <c r="C14" s="81">
        <f>(VLOOKUP(C8,B16:C39,2,FALSE)+IF(C6="Yes",1,0))/24 + VLOOKUP(C10,B41:C44,2,FALSE)/24/60</f>
        <v>0.54166666666666663</v>
      </c>
      <c r="D14" s="79"/>
      <c r="E14" s="95"/>
    </row>
    <row r="15" spans="2:5" s="94" customFormat="1" x14ac:dyDescent="0.2">
      <c r="B15" s="80"/>
      <c r="C15" s="80"/>
      <c r="D15" s="80"/>
      <c r="E15" s="93"/>
    </row>
    <row r="16" spans="2:5" s="96" customFormat="1" x14ac:dyDescent="0.2">
      <c r="B16" s="79" t="s">
        <v>118</v>
      </c>
      <c r="C16" s="79">
        <v>0</v>
      </c>
      <c r="D16" s="82"/>
    </row>
    <row r="17" spans="2:6" s="94" customFormat="1" x14ac:dyDescent="0.2">
      <c r="B17" s="80" t="s">
        <v>119</v>
      </c>
      <c r="C17" s="80">
        <v>1</v>
      </c>
      <c r="D17" s="83"/>
      <c r="F17" s="96"/>
    </row>
    <row r="18" spans="2:6" s="96" customFormat="1" x14ac:dyDescent="0.2">
      <c r="B18" s="79" t="s">
        <v>120</v>
      </c>
      <c r="C18" s="79">
        <v>2</v>
      </c>
      <c r="D18" s="82"/>
      <c r="E18" s="97"/>
    </row>
    <row r="19" spans="2:6" s="94" customFormat="1" x14ac:dyDescent="0.2">
      <c r="B19" s="80" t="s">
        <v>121</v>
      </c>
      <c r="C19" s="80">
        <v>3</v>
      </c>
      <c r="D19" s="83"/>
      <c r="E19" s="98"/>
      <c r="F19" s="96"/>
    </row>
    <row r="20" spans="2:6" s="96" customFormat="1" x14ac:dyDescent="0.2">
      <c r="B20" s="79" t="s">
        <v>122</v>
      </c>
      <c r="C20" s="79">
        <v>4</v>
      </c>
      <c r="D20" s="82"/>
    </row>
    <row r="21" spans="2:6" s="94" customFormat="1" x14ac:dyDescent="0.2">
      <c r="B21" s="80" t="s">
        <v>123</v>
      </c>
      <c r="C21" s="80">
        <v>5</v>
      </c>
      <c r="D21" s="83"/>
      <c r="F21" s="96"/>
    </row>
    <row r="22" spans="2:6" s="96" customFormat="1" x14ac:dyDescent="0.2">
      <c r="B22" s="79" t="s">
        <v>124</v>
      </c>
      <c r="C22" s="79">
        <v>6</v>
      </c>
      <c r="D22" s="82"/>
    </row>
    <row r="23" spans="2:6" s="94" customFormat="1" x14ac:dyDescent="0.2">
      <c r="B23" s="80" t="s">
        <v>125</v>
      </c>
      <c r="C23" s="80">
        <v>7</v>
      </c>
      <c r="D23" s="83"/>
      <c r="F23" s="96"/>
    </row>
    <row r="24" spans="2:6" s="96" customFormat="1" x14ac:dyDescent="0.2">
      <c r="B24" s="79" t="s">
        <v>126</v>
      </c>
      <c r="C24" s="79">
        <v>8</v>
      </c>
      <c r="D24" s="82"/>
    </row>
    <row r="25" spans="2:6" s="94" customFormat="1" x14ac:dyDescent="0.2">
      <c r="B25" s="80" t="s">
        <v>127</v>
      </c>
      <c r="C25" s="80">
        <v>9</v>
      </c>
      <c r="D25" s="83"/>
      <c r="F25" s="96"/>
    </row>
    <row r="26" spans="2:6" s="96" customFormat="1" x14ac:dyDescent="0.2">
      <c r="B26" s="79" t="s">
        <v>128</v>
      </c>
      <c r="C26" s="79">
        <v>10</v>
      </c>
      <c r="D26" s="82"/>
    </row>
    <row r="27" spans="2:6" s="94" customFormat="1" x14ac:dyDescent="0.2">
      <c r="B27" s="80" t="s">
        <v>46</v>
      </c>
      <c r="C27" s="80">
        <v>11</v>
      </c>
      <c r="D27" s="83"/>
      <c r="F27" s="96"/>
    </row>
    <row r="28" spans="2:6" s="96" customFormat="1" x14ac:dyDescent="0.2">
      <c r="B28" s="79" t="s">
        <v>115</v>
      </c>
      <c r="C28" s="79">
        <v>12</v>
      </c>
      <c r="D28" s="82"/>
    </row>
    <row r="29" spans="2:6" s="94" customFormat="1" x14ac:dyDescent="0.2">
      <c r="B29" s="80" t="s">
        <v>129</v>
      </c>
      <c r="C29" s="80">
        <v>13</v>
      </c>
      <c r="D29" s="83"/>
      <c r="F29" s="96"/>
    </row>
    <row r="30" spans="2:6" s="96" customFormat="1" x14ac:dyDescent="0.2">
      <c r="B30" s="79" t="s">
        <v>130</v>
      </c>
      <c r="C30" s="79">
        <v>14</v>
      </c>
      <c r="D30" s="82"/>
    </row>
    <row r="31" spans="2:6" s="94" customFormat="1" x14ac:dyDescent="0.2">
      <c r="B31" s="80" t="s">
        <v>131</v>
      </c>
      <c r="C31" s="80">
        <v>15</v>
      </c>
      <c r="D31" s="83"/>
      <c r="F31" s="96"/>
    </row>
    <row r="32" spans="2:6" s="96" customFormat="1" x14ac:dyDescent="0.2">
      <c r="B32" s="79" t="s">
        <v>132</v>
      </c>
      <c r="C32" s="79">
        <v>16</v>
      </c>
      <c r="D32" s="82"/>
    </row>
    <row r="33" spans="2:6" s="94" customFormat="1" x14ac:dyDescent="0.2">
      <c r="B33" s="80" t="s">
        <v>133</v>
      </c>
      <c r="C33" s="80">
        <v>17</v>
      </c>
      <c r="D33" s="83"/>
      <c r="F33" s="96"/>
    </row>
    <row r="34" spans="2:6" s="96" customFormat="1" x14ac:dyDescent="0.2">
      <c r="B34" s="79" t="s">
        <v>134</v>
      </c>
      <c r="C34" s="79">
        <v>18</v>
      </c>
      <c r="D34" s="82"/>
    </row>
    <row r="35" spans="2:6" s="94" customFormat="1" x14ac:dyDescent="0.2">
      <c r="B35" s="80" t="s">
        <v>135</v>
      </c>
      <c r="C35" s="80">
        <v>19</v>
      </c>
      <c r="D35" s="83"/>
      <c r="F35" s="96"/>
    </row>
    <row r="36" spans="2:6" s="96" customFormat="1" x14ac:dyDescent="0.2">
      <c r="B36" s="79" t="s">
        <v>136</v>
      </c>
      <c r="C36" s="79">
        <v>20</v>
      </c>
      <c r="D36" s="82"/>
    </row>
    <row r="37" spans="2:6" s="94" customFormat="1" x14ac:dyDescent="0.2">
      <c r="B37" s="80" t="s">
        <v>137</v>
      </c>
      <c r="C37" s="80">
        <v>21</v>
      </c>
      <c r="D37" s="83"/>
      <c r="F37" s="96"/>
    </row>
    <row r="38" spans="2:6" s="96" customFormat="1" x14ac:dyDescent="0.2">
      <c r="B38" s="79" t="s">
        <v>138</v>
      </c>
      <c r="C38" s="79">
        <v>22</v>
      </c>
      <c r="D38" s="82"/>
    </row>
    <row r="39" spans="2:6" s="94" customFormat="1" x14ac:dyDescent="0.2">
      <c r="B39" s="80" t="s">
        <v>139</v>
      </c>
      <c r="C39" s="80">
        <v>23</v>
      </c>
      <c r="D39" s="83"/>
      <c r="F39" s="96"/>
    </row>
    <row r="40" spans="2:6" s="96" customFormat="1" x14ac:dyDescent="0.2">
      <c r="B40" s="79"/>
      <c r="C40" s="79"/>
      <c r="D40" s="82"/>
    </row>
    <row r="41" spans="2:6" s="94" customFormat="1" x14ac:dyDescent="0.2">
      <c r="B41" s="84" t="s">
        <v>117</v>
      </c>
      <c r="C41" s="80">
        <v>0</v>
      </c>
      <c r="D41" s="83"/>
    </row>
    <row r="42" spans="2:6" s="96" customFormat="1" x14ac:dyDescent="0.2">
      <c r="B42" s="110" t="s">
        <v>140</v>
      </c>
      <c r="C42" s="79">
        <v>15</v>
      </c>
      <c r="D42" s="82"/>
    </row>
    <row r="43" spans="2:6" s="94" customFormat="1" x14ac:dyDescent="0.2">
      <c r="B43" s="84" t="s">
        <v>141</v>
      </c>
      <c r="C43" s="80">
        <v>30</v>
      </c>
      <c r="D43" s="83"/>
    </row>
    <row r="44" spans="2:6" s="96" customFormat="1" x14ac:dyDescent="0.2">
      <c r="B44" s="110" t="s">
        <v>142</v>
      </c>
      <c r="C44" s="79">
        <v>45</v>
      </c>
      <c r="D44" s="82"/>
    </row>
    <row r="45" spans="2:6" s="94" customFormat="1" x14ac:dyDescent="0.2">
      <c r="B45" s="84"/>
      <c r="C45" s="80"/>
      <c r="D45" s="83"/>
    </row>
  </sheetData>
  <sheetProtection algorithmName="SHA-512" hashValue="7bXVFkP5Gk8v0QiOaamQyYXTASSGA8E6loJUwrgIri95ShFV/4D/O/OZY4fEBBer0sD5YBPKdn0JNTSdGtDhwQ==" saltValue="TFqWCEMIMcA7aAzT62h13g==" spinCount="100000" sheet="1" objects="1" scenarios="1"/>
  <phoneticPr fontId="2" type="noConversion"/>
  <dataValidations count="4">
    <dataValidation type="list" allowBlank="1" showInputMessage="1" showErrorMessage="1" sqref="C6" xr:uid="{00000000-0002-0000-0100-000000000000}">
      <formula1>"Yes,No"</formula1>
    </dataValidation>
    <dataValidation type="list" allowBlank="1" showInputMessage="1" showErrorMessage="1" sqref="C4" xr:uid="{00000000-0002-0000-0100-000001000000}">
      <formula1>lang_list</formula1>
    </dataValidation>
    <dataValidation type="list" allowBlank="1" showInputMessage="1" showErrorMessage="1" promptTitle="Select GTM-time" prompt="Use drop-down List" sqref="C8" xr:uid="{00000000-0002-0000-0100-000002000000}">
      <formula1>$B$16:$B$39</formula1>
    </dataValidation>
    <dataValidation type="list" allowBlank="1" showInputMessage="1" showErrorMessage="1" promptTitle="Select Minutes" prompt="Use drop-down List" sqref="C10" xr:uid="{00000000-0002-0000-0100-000003000000}">
      <formula1>$B$41:$B$44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D89"/>
  <sheetViews>
    <sheetView showGridLines="0" tabSelected="1" zoomScaleNormal="100" workbookViewId="0">
      <selection activeCell="E7" sqref="E7"/>
    </sheetView>
  </sheetViews>
  <sheetFormatPr defaultRowHeight="12.75" x14ac:dyDescent="0.2"/>
  <cols>
    <col min="1" max="1" width="5.7109375" style="3" customWidth="1"/>
    <col min="2" max="2" width="11.7109375" style="3" bestFit="1" customWidth="1"/>
    <col min="3" max="3" width="7.28515625" style="5" customWidth="1"/>
    <col min="4" max="4" width="21.28515625" style="6" customWidth="1"/>
    <col min="5" max="7" width="4.28515625" style="7" customWidth="1"/>
    <col min="8" max="8" width="21.28515625" style="8" customWidth="1"/>
    <col min="9" max="9" width="13.28515625" style="6" customWidth="1"/>
    <col min="10" max="10" width="3.42578125" style="4" customWidth="1"/>
    <col min="11" max="11" width="14" style="65" customWidth="1"/>
    <col min="12" max="16" width="5.42578125" style="66" customWidth="1"/>
    <col min="17" max="17" width="7.42578125" style="66" customWidth="1"/>
    <col min="18" max="18" width="6.7109375" style="66" customWidth="1"/>
    <col min="19" max="19" width="3.42578125" style="91" customWidth="1"/>
    <col min="20" max="20" width="15.42578125" style="111" hidden="1" customWidth="1"/>
    <col min="21" max="21" width="3.42578125" style="112" hidden="1" customWidth="1"/>
    <col min="22" max="22" width="5.42578125" style="111" hidden="1" customWidth="1"/>
    <col min="23" max="23" width="13.42578125" style="112" hidden="1" customWidth="1"/>
    <col min="24" max="31" width="5.42578125" style="111" hidden="1" customWidth="1"/>
    <col min="32" max="32" width="10" style="112" hidden="1" customWidth="1"/>
    <col min="33" max="33" width="6.140625" style="112" hidden="1" customWidth="1"/>
    <col min="34" max="38" width="5.42578125" style="112" hidden="1" customWidth="1"/>
    <col min="39" max="39" width="3.42578125" style="112" hidden="1" customWidth="1"/>
    <col min="40" max="46" width="5.42578125" style="111" hidden="1" customWidth="1"/>
    <col min="47" max="47" width="10" style="112" hidden="1" customWidth="1"/>
    <col min="48" max="48" width="3.42578125" style="112" hidden="1" customWidth="1"/>
    <col min="49" max="55" width="5.42578125" style="111" hidden="1" customWidth="1"/>
    <col min="56" max="56" width="10" style="112" hidden="1" customWidth="1"/>
    <col min="57" max="57" width="3.42578125" style="112" hidden="1" customWidth="1"/>
    <col min="58" max="58" width="15.140625" style="112" hidden="1" customWidth="1"/>
    <col min="59" max="59" width="3.42578125" style="112" hidden="1" customWidth="1"/>
    <col min="60" max="61" width="12.7109375" style="112" hidden="1" customWidth="1"/>
    <col min="62" max="63" width="5.42578125" style="111" hidden="1" customWidth="1"/>
    <col min="64" max="64" width="3.42578125" style="112" hidden="1" customWidth="1"/>
    <col min="65" max="65" width="5.42578125" style="112" hidden="1" customWidth="1"/>
    <col min="66" max="67" width="12.7109375" style="112" hidden="1" customWidth="1"/>
    <col min="68" max="69" width="5.42578125" style="111" hidden="1" customWidth="1"/>
    <col min="70" max="70" width="3.42578125" style="112" hidden="1" customWidth="1"/>
    <col min="71" max="71" width="5.42578125" style="112" hidden="1" customWidth="1" collapsed="1"/>
    <col min="72" max="73" width="12.7109375" style="112" hidden="1" customWidth="1"/>
    <col min="74" max="75" width="5.42578125" style="111" hidden="1" customWidth="1"/>
    <col min="76" max="76" width="3.42578125" style="112" hidden="1" customWidth="1"/>
    <col min="77" max="77" width="5.42578125" style="112" hidden="1" customWidth="1" collapsed="1"/>
    <col min="78" max="79" width="12.7109375" style="112" hidden="1" customWidth="1"/>
    <col min="80" max="81" width="5.42578125" style="111" hidden="1" customWidth="1"/>
    <col min="82" max="82" width="3.42578125" style="112" hidden="1" customWidth="1"/>
    <col min="83" max="16384" width="9.140625" style="4"/>
  </cols>
  <sheetData>
    <row r="1" spans="1:81" ht="46.5" x14ac:dyDescent="0.2">
      <c r="A1" s="132" t="str">
        <f>INDEX(T,2,lang)</f>
        <v>Ice Hockey World Championship 2020 Schedule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81" ht="6.75" customHeight="1" x14ac:dyDescent="0.2"/>
    <row r="3" spans="1:81" x14ac:dyDescent="0.2">
      <c r="B3"/>
      <c r="F3" s="78"/>
      <c r="G3" s="78"/>
      <c r="H3" s="78"/>
      <c r="I3" s="78"/>
      <c r="J3" s="78"/>
      <c r="K3" s="78"/>
      <c r="L3" s="78"/>
      <c r="P3" s="139" t="str">
        <f>"Language: " &amp; Settings!C4</f>
        <v>Language: English</v>
      </c>
      <c r="Q3" s="139"/>
      <c r="R3" s="139"/>
    </row>
    <row r="4" spans="1:81" ht="6.75" customHeight="1" x14ac:dyDescent="0.2"/>
    <row r="5" spans="1:81" ht="12.75" customHeight="1" x14ac:dyDescent="0.2">
      <c r="A5" s="115" t="str">
        <f>INDEX(T,3,lang)</f>
        <v>Preliminary Round</v>
      </c>
      <c r="B5" s="116"/>
      <c r="C5" s="116"/>
      <c r="D5" s="116"/>
      <c r="E5" s="116"/>
      <c r="F5" s="116"/>
      <c r="G5" s="116"/>
      <c r="H5" s="116"/>
      <c r="I5" s="117"/>
      <c r="K5" s="133" t="s">
        <v>226</v>
      </c>
      <c r="L5" s="134"/>
      <c r="M5" s="134"/>
      <c r="N5" s="134"/>
      <c r="O5" s="134"/>
      <c r="P5" s="134"/>
      <c r="Q5" s="134"/>
      <c r="R5" s="135"/>
    </row>
    <row r="6" spans="1:81" ht="12.75" customHeight="1" x14ac:dyDescent="0.2">
      <c r="A6" s="118"/>
      <c r="B6" s="119"/>
      <c r="C6" s="119"/>
      <c r="D6" s="119"/>
      <c r="E6" s="119"/>
      <c r="F6" s="119"/>
      <c r="G6" s="119"/>
      <c r="H6" s="119"/>
      <c r="I6" s="120"/>
      <c r="K6" s="136"/>
      <c r="L6" s="137"/>
      <c r="M6" s="137"/>
      <c r="N6" s="137"/>
      <c r="O6" s="137"/>
      <c r="P6" s="137"/>
      <c r="Q6" s="137"/>
      <c r="R6" s="138"/>
      <c r="T6" s="111" t="s">
        <v>20</v>
      </c>
      <c r="V6" s="111" t="s">
        <v>7</v>
      </c>
      <c r="W6" s="111" t="s">
        <v>6</v>
      </c>
      <c r="X6" s="111" t="s">
        <v>0</v>
      </c>
      <c r="Y6" s="111" t="s">
        <v>1</v>
      </c>
      <c r="Z6" s="111" t="s">
        <v>15</v>
      </c>
      <c r="AA6" s="111" t="s">
        <v>2</v>
      </c>
      <c r="AB6" s="111" t="s">
        <v>3</v>
      </c>
      <c r="AC6" s="111" t="s">
        <v>8</v>
      </c>
      <c r="AD6" s="111" t="s">
        <v>9</v>
      </c>
      <c r="AE6" s="111" t="s">
        <v>4</v>
      </c>
      <c r="AF6" s="111" t="s">
        <v>5</v>
      </c>
      <c r="AG6" s="111"/>
      <c r="AH6" s="111"/>
      <c r="AI6" s="111"/>
      <c r="AJ6" s="111"/>
      <c r="AK6" s="111"/>
      <c r="AL6" s="111"/>
      <c r="AM6" s="113"/>
      <c r="AN6" s="111" t="s">
        <v>1</v>
      </c>
      <c r="AO6" s="111" t="s">
        <v>15</v>
      </c>
      <c r="AP6" s="111" t="s">
        <v>2</v>
      </c>
      <c r="AQ6" s="111" t="s">
        <v>3</v>
      </c>
      <c r="AR6" s="111" t="s">
        <v>8</v>
      </c>
      <c r="AS6" s="111" t="s">
        <v>9</v>
      </c>
      <c r="AT6" s="111" t="s">
        <v>4</v>
      </c>
      <c r="AU6" s="111" t="s">
        <v>5</v>
      </c>
      <c r="AV6" s="113"/>
      <c r="AW6" s="111" t="s">
        <v>1</v>
      </c>
      <c r="AX6" s="111" t="s">
        <v>15</v>
      </c>
      <c r="AY6" s="111" t="s">
        <v>2</v>
      </c>
      <c r="AZ6" s="111" t="s">
        <v>3</v>
      </c>
      <c r="BA6" s="111" t="s">
        <v>8</v>
      </c>
      <c r="BB6" s="111" t="s">
        <v>9</v>
      </c>
      <c r="BC6" s="111" t="s">
        <v>4</v>
      </c>
      <c r="BD6" s="111" t="s">
        <v>5</v>
      </c>
      <c r="BE6" s="113"/>
      <c r="BF6" s="113"/>
      <c r="BG6" s="113"/>
    </row>
    <row r="7" spans="1:81" x14ac:dyDescent="0.2">
      <c r="A7" s="41" t="str">
        <f t="shared" ref="A7:A38" si="0">INDEX(T,19+INT(MOD(T7-1,7)),lang)</f>
        <v>Fri</v>
      </c>
      <c r="B7" s="42" t="str">
        <f t="shared" ref="B7:B33" si="1">INDEX(T,25+MONTH(T7),lang) &amp; " " &amp; DAY(T7) &amp; ", " &amp; YEAR(T7)</f>
        <v>May 8, 2020</v>
      </c>
      <c r="C7" s="76">
        <f>TIME(3,20,0)+gmt_delta</f>
        <v>0.68055555555555558</v>
      </c>
      <c r="D7" s="85" t="str">
        <f>W8</f>
        <v>Canada</v>
      </c>
      <c r="E7" s="26"/>
      <c r="F7" s="24"/>
      <c r="G7" s="27"/>
      <c r="H7" s="88" t="str">
        <f>W11</f>
        <v>Germany</v>
      </c>
      <c r="I7" s="99" t="str">
        <f>INDEX(T,17,lang)</f>
        <v>Lausanne Arena</v>
      </c>
      <c r="T7" s="111">
        <f>DATE(2020,5,8)+C7</f>
        <v>43959.680555555555</v>
      </c>
      <c r="BH7" s="112" t="str">
        <f>IF(AND(ISNUMBER(E7),ISNUMBER(G7)),CONCATENATE(D7, IF(E7&gt;G7,IF(F7="OT","_win_ot","_win"),IF(E7&lt;G7,IF(F7="OT","_draw","_lose"),"_draw"))),"")</f>
        <v/>
      </c>
      <c r="BI7" s="112" t="str">
        <f>IF(AND(ISNUMBER(E7),ISNUMBER(G7)),CONCATENATE(H7, IF(E7&lt;G7,IF(F7="OT","_win_ot","_win"),IF(E7&gt;G7,IF(F7="OT","_draw","_lose"),"_draw"))),"")</f>
        <v/>
      </c>
      <c r="BJ7" s="111" t="str">
        <f>IF(AND(ISNUMBER(E7),ISNUMBER(G7)),E7,"")</f>
        <v/>
      </c>
      <c r="BK7" s="111" t="str">
        <f>IF(AND(ISNUMBER(E7),ISNUMBER(G7)),G7,"")</f>
        <v/>
      </c>
      <c r="BM7" s="112">
        <f t="shared" ref="BM7:BM38" si="2">VLOOKUP(D7,$W$8:$AI$25,13,FALSE) * VLOOKUP(H7,$W$8:$AI$25,13,FALSE)</f>
        <v>0</v>
      </c>
      <c r="BN7" s="112" t="str">
        <f>IF(OR($BM7&lt;&gt;1,$BH7=""),"",BH7)</f>
        <v/>
      </c>
      <c r="BO7" s="112" t="str">
        <f>IF(OR($BM7&lt;&gt;1,$BH7=""),"",BI7)</f>
        <v/>
      </c>
      <c r="BP7" s="111" t="str">
        <f>IF(OR($BM7&lt;&gt;1,$BH7=""),"",E7)</f>
        <v/>
      </c>
      <c r="BQ7" s="111" t="str">
        <f>IF(OR($BM7&lt;&gt;1,$BH7=""),"",G7)</f>
        <v/>
      </c>
      <c r="BS7" s="112">
        <f t="shared" ref="BS7:BS38" si="3">VLOOKUP(D7,$W$8:$AK$25,15,FALSE) * VLOOKUP(H7,$W$8:$AK$25,15,FALSE)</f>
        <v>0</v>
      </c>
      <c r="BT7" s="112" t="str">
        <f>IF(OR($BS7&lt;&gt;1,$BH7=""),"",BH7)</f>
        <v/>
      </c>
      <c r="BU7" s="112" t="str">
        <f>IF(OR($BS7&lt;&gt;1,$BH7=""),"",BI7)</f>
        <v/>
      </c>
      <c r="BV7" s="111" t="str">
        <f>IF(OR($BS7&lt;&gt;1,$BH7=""),"",E7)</f>
        <v/>
      </c>
      <c r="BW7" s="111" t="str">
        <f>IF(OR($BS7&lt;&gt;1,$BH7=""),"",G7)</f>
        <v/>
      </c>
      <c r="BY7" s="112">
        <f t="shared" ref="BY7:BY38" si="4">VLOOKUP(D7,$W$8:$AL$25,16,FALSE) * VLOOKUP(H7,$W$8:$AL$25,16,FALSE)</f>
        <v>0</v>
      </c>
      <c r="BZ7" s="112" t="str">
        <f>IF(OR($BY7&lt;&gt;1,$BH7=""),"",BH7)</f>
        <v/>
      </c>
      <c r="CA7" s="112" t="str">
        <f>IF(OR($BY7&lt;&gt;1,$BH7=""),"",BI7)</f>
        <v/>
      </c>
      <c r="CB7" s="111" t="str">
        <f>IF(OR($BY7&lt;&gt;1,$BH7=""),"",E7)</f>
        <v/>
      </c>
      <c r="CC7" s="111" t="str">
        <f>IF(OR($BY7&lt;&gt;1,$BH7=""),"",G7)</f>
        <v/>
      </c>
    </row>
    <row r="8" spans="1:81" x14ac:dyDescent="0.2">
      <c r="A8" s="53" t="str">
        <f t="shared" si="0"/>
        <v>Fri</v>
      </c>
      <c r="B8" s="54" t="str">
        <f t="shared" si="1"/>
        <v>May 8, 2020</v>
      </c>
      <c r="C8" s="55">
        <f>TIME(3,20,0)+gmt_delta</f>
        <v>0.68055555555555558</v>
      </c>
      <c r="D8" s="86" t="str">
        <f>W19</f>
        <v>Finland</v>
      </c>
      <c r="E8" s="28"/>
      <c r="F8" s="23"/>
      <c r="G8" s="29"/>
      <c r="H8" s="89" t="str">
        <f>W20</f>
        <v>United States</v>
      </c>
      <c r="I8" s="100" t="str">
        <f>INDEX(T,18,lang)</f>
        <v>Hallenstadion</v>
      </c>
      <c r="K8" s="59" t="str">
        <f>INDEX(T,9,lang) &amp; " " &amp; "A"</f>
        <v>Group A</v>
      </c>
      <c r="L8" s="60" t="str">
        <f>INDEX(T,10,lang)</f>
        <v>PL</v>
      </c>
      <c r="M8" s="60" t="str">
        <f>INDEX(T,11,lang)</f>
        <v>W</v>
      </c>
      <c r="N8" s="60" t="str">
        <f>INDEX(T,12,lang)</f>
        <v>OT-W</v>
      </c>
      <c r="O8" s="60" t="str">
        <f>INDEX(T,13,lang)</f>
        <v>OT-L</v>
      </c>
      <c r="P8" s="60" t="str">
        <f>INDEX(T,14,lang)</f>
        <v>L</v>
      </c>
      <c r="Q8" s="60" t="str">
        <f>INDEX(T,15,lang)</f>
        <v>GF - GA</v>
      </c>
      <c r="R8" s="61" t="str">
        <f>INDEX(T,16,lang)</f>
        <v>PNT</v>
      </c>
      <c r="T8" s="111">
        <f>DATE(2020,5,8)+C8</f>
        <v>43959.680555555555</v>
      </c>
      <c r="V8" s="111">
        <f>COUNTIF(AF8:AF15,CONCATENATE("&gt;=",AF8))</f>
        <v>1</v>
      </c>
      <c r="W8" s="112" t="str">
        <f>INDEX(T,38,lang)</f>
        <v>Canada</v>
      </c>
      <c r="X8" s="111">
        <f t="shared" ref="X8:X15" si="5">Y8+Z8+AA8+AB8</f>
        <v>0</v>
      </c>
      <c r="Y8" s="111">
        <f t="shared" ref="Y8:Y15" si="6">COUNTIF(wdl,$W8 &amp; "_win")</f>
        <v>0</v>
      </c>
      <c r="Z8" s="111">
        <f t="shared" ref="Z8:Z15" si="7">COUNTIF(wdl,$W8 &amp; "_win_ot")</f>
        <v>0</v>
      </c>
      <c r="AA8" s="111">
        <f t="shared" ref="AA8:AA15" si="8">COUNTIF(wdl,$W8 &amp; "_draw")</f>
        <v>0</v>
      </c>
      <c r="AB8" s="111">
        <f t="shared" ref="AB8:AB15" si="9">COUNTIF(wdl,$W8 &amp; "_lose")</f>
        <v>0</v>
      </c>
      <c r="AC8" s="111">
        <f t="shared" ref="AC8:AC15" si="10">SUMIF(team_home,$W8,goal_home) + SUMIF(team_away,$W8,goal_away)</f>
        <v>0</v>
      </c>
      <c r="AD8" s="111">
        <f t="shared" ref="AD8:AD15" si="11">SUMIF(team_home,$W8,goal_away) + SUMIF(team_away,$W8,goal_home)</f>
        <v>0</v>
      </c>
      <c r="AE8" s="111">
        <f t="shared" ref="AE8:AE15" si="12">Y8*3+Z8*2+AA8</f>
        <v>0</v>
      </c>
      <c r="AF8" s="112">
        <f t="shared" ref="AF8:AF15" si="13">10000*AE8/9+1000*AU8+100*BD8+10*(AC8-AD8+60)/120+AC8/60+AG8</f>
        <v>9.9584950495049505</v>
      </c>
      <c r="AG8" s="111">
        <v>8.0000000000000002E-3</v>
      </c>
      <c r="AH8" s="111">
        <f>IF(COUNTIF(AE8:AE15,"=" &amp; AE8)=1,0,AE8)</f>
        <v>0</v>
      </c>
      <c r="AI8" s="111">
        <f>IF(AH8=AH16,1,0)</f>
        <v>0</v>
      </c>
      <c r="AJ8" s="111">
        <f t="shared" ref="AJ8:AJ15" si="14">IF(AI8=0,AH8,0)</f>
        <v>0</v>
      </c>
      <c r="AK8" s="111">
        <f>IF(AJ8=AJ16,1,0)</f>
        <v>0</v>
      </c>
      <c r="AL8" s="111">
        <f t="shared" ref="AL8:AL15" si="15">IF(V8=4,0,1)</f>
        <v>1</v>
      </c>
      <c r="AN8" s="111">
        <f t="shared" ref="AN8:AN15" si="16">COUNTIF(wdl_a,$W8 &amp; "_win")</f>
        <v>0</v>
      </c>
      <c r="AO8" s="111">
        <f t="shared" ref="AO8:AO15" si="17">COUNTIF(wdl_a,$W8 &amp; "_win_ot")</f>
        <v>0</v>
      </c>
      <c r="AP8" s="111">
        <f t="shared" ref="AP8:AP15" si="18">COUNTIF(wdl_a,$W8 &amp; "_draw")</f>
        <v>0</v>
      </c>
      <c r="AQ8" s="111">
        <f t="shared" ref="AQ8:AQ15" si="19">COUNTIF(wdl_a,$W8 &amp; "_lose")</f>
        <v>0</v>
      </c>
      <c r="AR8" s="111">
        <f t="shared" ref="AR8:AR15" si="20">SUMIF(team_home,$W8,goal_home_a) + SUMIF(team_away,$W8,goal_away_a)</f>
        <v>0</v>
      </c>
      <c r="AS8" s="111">
        <f t="shared" ref="AS8:AS15" si="21">SUMIF(team_home,$W8,goal_away_a) + SUMIF(team_away,$W8,goal_home_a)</f>
        <v>0</v>
      </c>
      <c r="AT8" s="111">
        <f t="shared" ref="AT8:AT15" si="22">AN8*3+AO8*2+AP8</f>
        <v>0</v>
      </c>
      <c r="AU8" s="112">
        <f t="shared" ref="AU8:AU15" si="23">(1000*AT8/9+10*(AR8-AS8+60)/120+AR8/60) / 1111</f>
        <v>4.5004500450045006E-3</v>
      </c>
      <c r="AW8" s="111">
        <f t="shared" ref="AW8:AW15" si="24">COUNTIF(wdl_b,$W8 &amp; "_win")</f>
        <v>0</v>
      </c>
      <c r="AX8" s="111">
        <f t="shared" ref="AX8:AX15" si="25">COUNTIF(wdl_b,$W8 &amp; "_win_ot")</f>
        <v>0</v>
      </c>
      <c r="AY8" s="111">
        <f t="shared" ref="AY8:AY15" si="26">COUNTIF(wdl_b,$W8 &amp; "_draw")</f>
        <v>0</v>
      </c>
      <c r="AZ8" s="111">
        <f t="shared" ref="AZ8:AZ15" si="27">COUNTIF(wdl_b,$W8 &amp; "_lose")</f>
        <v>0</v>
      </c>
      <c r="BA8" s="111">
        <f t="shared" ref="BA8:BA15" si="28">SUMIF(team_home,$W8,goal_home_b) + SUMIF(team_away,$W8,goal_away_b)</f>
        <v>0</v>
      </c>
      <c r="BB8" s="111">
        <f t="shared" ref="BB8:BB15" si="29">SUMIF(team_home,$W8,goal_away_b) + SUMIF(team_away,$W8,goal_home_b)</f>
        <v>0</v>
      </c>
      <c r="BC8" s="111">
        <f t="shared" ref="BC8:BC15" si="30">AW8*3+AX8*2+AY8</f>
        <v>0</v>
      </c>
      <c r="BD8" s="112">
        <f t="shared" ref="BD8:BD15" si="31">(1000*BC8/9+10*(BA8-BB8+60)/120+BA8/60) / 1111</f>
        <v>4.5004500450045006E-3</v>
      </c>
      <c r="BF8" s="112" t="str">
        <f>IF(SUM(X8:X15)=56,K9,INDEX(T,54,lang) &amp; " A1")</f>
        <v>Team A1</v>
      </c>
      <c r="BH8" s="112" t="str">
        <f>IF(AND(ISNUMBER(E8),ISNUMBER(G8)),CONCATENATE(D8, IF(E8&gt;G8,IF(F8="OT","_win_ot","_win"),IF(E8&lt;G8,IF(F8="OT","_draw","_lose"),"_draw"))),"")</f>
        <v/>
      </c>
      <c r="BI8" s="112" t="str">
        <f>IF(AND(ISNUMBER(E8),ISNUMBER(G8)),CONCATENATE(H8, IF(E8&lt;G8,IF(F8="OT","_win_ot","_win"),IF(E8&gt;G8,IF(F8="OT","_draw","_lose"),"_draw"))),"")</f>
        <v/>
      </c>
      <c r="BJ8" s="111" t="str">
        <f>IF(AND(ISNUMBER(E8),ISNUMBER(G8)),E8,"")</f>
        <v/>
      </c>
      <c r="BK8" s="111" t="str">
        <f>IF(AND(ISNUMBER(E8),ISNUMBER(G8)),G8,"")</f>
        <v/>
      </c>
      <c r="BM8" s="112">
        <f t="shared" si="2"/>
        <v>0</v>
      </c>
      <c r="BN8" s="112" t="str">
        <f>IF(OR($BM8&lt;&gt;1,$BH8=""),"",BH8)</f>
        <v/>
      </c>
      <c r="BO8" s="112" t="str">
        <f>IF(OR($BM8&lt;&gt;1,$BH8=""),"",BI8)</f>
        <v/>
      </c>
      <c r="BP8" s="111" t="str">
        <f>IF(OR($BM8&lt;&gt;1,$BH8=""),"",E8)</f>
        <v/>
      </c>
      <c r="BQ8" s="111" t="str">
        <f>IF(OR($BM8&lt;&gt;1,$BH8=""),"",G8)</f>
        <v/>
      </c>
      <c r="BS8" s="112">
        <f t="shared" si="3"/>
        <v>0</v>
      </c>
      <c r="BT8" s="112" t="str">
        <f>IF(OR($BS8&lt;&gt;1,$BH8=""),"",BH8)</f>
        <v/>
      </c>
      <c r="BU8" s="112" t="str">
        <f>IF(OR($BS8&lt;&gt;1,$BH8=""),"",BI8)</f>
        <v/>
      </c>
      <c r="BV8" s="111" t="str">
        <f>IF(OR($BS8&lt;&gt;1,$BH8=""),"",E8)</f>
        <v/>
      </c>
      <c r="BW8" s="111" t="str">
        <f>IF(OR($BS8&lt;&gt;1,$BH8=""),"",G8)</f>
        <v/>
      </c>
      <c r="BY8" s="112">
        <f t="shared" si="4"/>
        <v>1</v>
      </c>
      <c r="BZ8" s="112" t="str">
        <f>IF(OR($BY8&lt;&gt;1,$BH8=""),"",BH8)</f>
        <v/>
      </c>
      <c r="CA8" s="112" t="str">
        <f>IF(OR($BY8&lt;&gt;1,$BH8=""),"",BI8)</f>
        <v/>
      </c>
      <c r="CB8" s="111" t="str">
        <f>IF(OR($BY8&lt;&gt;1,$BH8=""),"",E8)</f>
        <v/>
      </c>
      <c r="CC8" s="111" t="str">
        <f>IF(OR($BY8&lt;&gt;1,$BH8=""),"",G8)</f>
        <v/>
      </c>
    </row>
    <row r="9" spans="1:81" x14ac:dyDescent="0.2">
      <c r="A9" s="53" t="str">
        <f t="shared" si="0"/>
        <v>Fri</v>
      </c>
      <c r="B9" s="54" t="str">
        <f t="shared" si="1"/>
        <v>May 8, 2020</v>
      </c>
      <c r="C9" s="55">
        <f>TIME(7,20,0)+gmt_delta</f>
        <v>0.8472222222222221</v>
      </c>
      <c r="D9" s="86" t="str">
        <f>W9</f>
        <v>Sweden</v>
      </c>
      <c r="E9" s="28"/>
      <c r="F9" s="23"/>
      <c r="G9" s="29"/>
      <c r="H9" s="89" t="str">
        <f>W10</f>
        <v>Czech Republic</v>
      </c>
      <c r="I9" s="58" t="str">
        <f>INDEX(T,17,lang)</f>
        <v>Lausanne Arena</v>
      </c>
      <c r="K9" s="62" t="str">
        <f>VLOOKUP(1,V8:AE15,2,FALSE)</f>
        <v>Canada</v>
      </c>
      <c r="L9" s="67">
        <f t="shared" ref="L9:L16" si="32">M9+N9+O9+P9</f>
        <v>0</v>
      </c>
      <c r="M9" s="67">
        <f>VLOOKUP(1,V8:AE15,4,FALSE)</f>
        <v>0</v>
      </c>
      <c r="N9" s="67">
        <f>VLOOKUP(1,V8:AE15,5,FALSE)</f>
        <v>0</v>
      </c>
      <c r="O9" s="67">
        <f>VLOOKUP(1,V8:AE15,6,FALSE)</f>
        <v>0</v>
      </c>
      <c r="P9" s="67">
        <f>VLOOKUP(1,V8:AE15,7,FALSE)</f>
        <v>0</v>
      </c>
      <c r="Q9" s="67" t="str">
        <f>VLOOKUP(1,V8:AE15,8,FALSE) &amp; " - " &amp; VLOOKUP(1,V8:AE15,9,FALSE)</f>
        <v>0 - 0</v>
      </c>
      <c r="R9" s="68">
        <f t="shared" ref="R9:R16" si="33">M9*3+N9*2+O9</f>
        <v>0</v>
      </c>
      <c r="T9" s="111">
        <f t="shared" ref="T9:T10" si="34">DATE(2020,5,8)+C9</f>
        <v>43959.847222222219</v>
      </c>
      <c r="V9" s="111">
        <f>COUNTIF(AF8:AF15,CONCATENATE("&gt;=",AF9))</f>
        <v>2</v>
      </c>
      <c r="W9" s="112" t="str">
        <f>INDEX(T,46,lang)</f>
        <v>Sweden</v>
      </c>
      <c r="X9" s="111">
        <f t="shared" si="5"/>
        <v>0</v>
      </c>
      <c r="Y9" s="111">
        <f t="shared" si="6"/>
        <v>0</v>
      </c>
      <c r="Z9" s="111">
        <f t="shared" si="7"/>
        <v>0</v>
      </c>
      <c r="AA9" s="111">
        <f t="shared" si="8"/>
        <v>0</v>
      </c>
      <c r="AB9" s="111">
        <f t="shared" si="9"/>
        <v>0</v>
      </c>
      <c r="AC9" s="111">
        <f t="shared" si="10"/>
        <v>0</v>
      </c>
      <c r="AD9" s="111">
        <f t="shared" si="11"/>
        <v>0</v>
      </c>
      <c r="AE9" s="111">
        <f t="shared" si="12"/>
        <v>0</v>
      </c>
      <c r="AF9" s="112">
        <f t="shared" si="13"/>
        <v>9.957495049504951</v>
      </c>
      <c r="AG9" s="111">
        <v>7.0000000000000001E-3</v>
      </c>
      <c r="AH9" s="111">
        <f>IF(COUNTIF(AE8:AE15,"=" &amp; AE9)=1,0,AE9)</f>
        <v>0</v>
      </c>
      <c r="AI9" s="111">
        <f>IF(AH9=AH16,1,0)</f>
        <v>0</v>
      </c>
      <c r="AJ9" s="111">
        <f t="shared" si="14"/>
        <v>0</v>
      </c>
      <c r="AK9" s="111">
        <f>IF(AJ9=AJ16,1,0)</f>
        <v>0</v>
      </c>
      <c r="AL9" s="111">
        <f t="shared" si="15"/>
        <v>1</v>
      </c>
      <c r="AN9" s="111">
        <f t="shared" si="16"/>
        <v>0</v>
      </c>
      <c r="AO9" s="111">
        <f t="shared" si="17"/>
        <v>0</v>
      </c>
      <c r="AP9" s="111">
        <f t="shared" si="18"/>
        <v>0</v>
      </c>
      <c r="AQ9" s="111">
        <f t="shared" si="19"/>
        <v>0</v>
      </c>
      <c r="AR9" s="111">
        <f t="shared" si="20"/>
        <v>0</v>
      </c>
      <c r="AS9" s="111">
        <f t="shared" si="21"/>
        <v>0</v>
      </c>
      <c r="AT9" s="111">
        <f t="shared" si="22"/>
        <v>0</v>
      </c>
      <c r="AU9" s="112">
        <f t="shared" si="23"/>
        <v>4.5004500450045006E-3</v>
      </c>
      <c r="AW9" s="111">
        <f t="shared" si="24"/>
        <v>0</v>
      </c>
      <c r="AX9" s="111">
        <f t="shared" si="25"/>
        <v>0</v>
      </c>
      <c r="AY9" s="111">
        <f t="shared" si="26"/>
        <v>0</v>
      </c>
      <c r="AZ9" s="111">
        <f t="shared" si="27"/>
        <v>0</v>
      </c>
      <c r="BA9" s="111">
        <f t="shared" si="28"/>
        <v>0</v>
      </c>
      <c r="BB9" s="111">
        <f t="shared" si="29"/>
        <v>0</v>
      </c>
      <c r="BC9" s="111">
        <f t="shared" si="30"/>
        <v>0</v>
      </c>
      <c r="BD9" s="112">
        <f t="shared" si="31"/>
        <v>4.5004500450045006E-3</v>
      </c>
      <c r="BF9" s="112" t="str">
        <f>IF(SUM(X8:X15)=56,K10,INDEX(T,54,lang) &amp; " A2")</f>
        <v>Team A2</v>
      </c>
      <c r="BH9" s="112" t="str">
        <f t="shared" ref="BH9:BH62" si="35">IF(AND(ISNUMBER(E9),ISNUMBER(G9)),CONCATENATE(D9, IF(E9&gt;G9,IF(F9="OT","_win_ot","_win"),IF(E9&lt;G9,IF(F9="OT","_draw","_lose"),"_draw"))),"")</f>
        <v/>
      </c>
      <c r="BI9" s="112" t="str">
        <f t="shared" ref="BI9:BI62" si="36">IF(AND(ISNUMBER(E9),ISNUMBER(G9)),CONCATENATE(H9, IF(E9&lt;G9,IF(F9="OT","_win_ot","_win"),IF(E9&gt;G9,IF(F9="OT","_draw","_lose"),"_draw"))),"")</f>
        <v/>
      </c>
      <c r="BJ9" s="111" t="str">
        <f t="shared" ref="BJ9:BJ62" si="37">IF(AND(ISNUMBER(E9),ISNUMBER(G9)),E9,"")</f>
        <v/>
      </c>
      <c r="BK9" s="111" t="str">
        <f t="shared" ref="BK9:BK62" si="38">IF(AND(ISNUMBER(E9),ISNUMBER(G9)),G9,"")</f>
        <v/>
      </c>
      <c r="BM9" s="112">
        <f t="shared" si="2"/>
        <v>0</v>
      </c>
      <c r="BN9" s="112" t="str">
        <f t="shared" ref="BN9:BN62" si="39">IF(OR($BM9&lt;&gt;1,$BH9=""),"",BH9)</f>
        <v/>
      </c>
      <c r="BO9" s="112" t="str">
        <f t="shared" ref="BO9:BO62" si="40">IF(OR($BM9&lt;&gt;1,$BH9=""),"",BI9)</f>
        <v/>
      </c>
      <c r="BP9" s="111" t="str">
        <f t="shared" ref="BP9:BP62" si="41">IF(OR($BM9&lt;&gt;1,$BH9=""),"",E9)</f>
        <v/>
      </c>
      <c r="BQ9" s="111" t="str">
        <f t="shared" ref="BQ9:BQ62" si="42">IF(OR($BM9&lt;&gt;1,$BH9=""),"",G9)</f>
        <v/>
      </c>
      <c r="BS9" s="112">
        <f t="shared" si="3"/>
        <v>0</v>
      </c>
      <c r="BT9" s="112" t="str">
        <f t="shared" ref="BT9:BT62" si="43">IF(OR($BS9&lt;&gt;1,$BH9=""),"",BH9)</f>
        <v/>
      </c>
      <c r="BU9" s="112" t="str">
        <f t="shared" ref="BU9:BU62" si="44">IF(OR($BS9&lt;&gt;1,$BH9=""),"",BI9)</f>
        <v/>
      </c>
      <c r="BV9" s="111" t="str">
        <f t="shared" ref="BV9:BV62" si="45">IF(OR($BS9&lt;&gt;1,$BH9=""),"",E9)</f>
        <v/>
      </c>
      <c r="BW9" s="111" t="str">
        <f t="shared" ref="BW9:BW62" si="46">IF(OR($BS9&lt;&gt;1,$BH9=""),"",G9)</f>
        <v/>
      </c>
      <c r="BY9" s="112">
        <f t="shared" si="4"/>
        <v>1</v>
      </c>
      <c r="BZ9" s="112" t="str">
        <f t="shared" ref="BZ9:BZ62" si="47">IF(OR($BY9&lt;&gt;1,$BH9=""),"",BH9)</f>
        <v/>
      </c>
      <c r="CA9" s="112" t="str">
        <f t="shared" ref="CA9:CA62" si="48">IF(OR($BY9&lt;&gt;1,$BH9=""),"",BI9)</f>
        <v/>
      </c>
      <c r="CB9" s="111" t="str">
        <f t="shared" ref="CB9:CB62" si="49">IF(OR($BY9&lt;&gt;1,$BH9=""),"",E9)</f>
        <v/>
      </c>
      <c r="CC9" s="111" t="str">
        <f t="shared" ref="CC9:CC62" si="50">IF(OR($BY9&lt;&gt;1,$BH9=""),"",G9)</f>
        <v/>
      </c>
    </row>
    <row r="10" spans="1:81" x14ac:dyDescent="0.2">
      <c r="A10" s="53" t="str">
        <f t="shared" si="0"/>
        <v>Fri</v>
      </c>
      <c r="B10" s="54" t="str">
        <f t="shared" si="1"/>
        <v>May 8, 2020</v>
      </c>
      <c r="C10" s="55">
        <f>TIME(7,20,0)+gmt_delta</f>
        <v>0.8472222222222221</v>
      </c>
      <c r="D10" s="86" t="str">
        <f>W18</f>
        <v>Russian Federation</v>
      </c>
      <c r="E10" s="28"/>
      <c r="F10" s="23"/>
      <c r="G10" s="29"/>
      <c r="H10" s="89" t="str">
        <f>W21</f>
        <v>Switzerland</v>
      </c>
      <c r="I10" s="58" t="str">
        <f>INDEX(T,18,lang)</f>
        <v>Hallenstadion</v>
      </c>
      <c r="K10" s="63" t="str">
        <f>VLOOKUP(2,V8:AE15,2,FALSE)</f>
        <v>Sweden</v>
      </c>
      <c r="L10" s="69">
        <f t="shared" si="32"/>
        <v>0</v>
      </c>
      <c r="M10" s="69">
        <f>VLOOKUP(2,V8:AE15,4,FALSE)</f>
        <v>0</v>
      </c>
      <c r="N10" s="69">
        <f>VLOOKUP(2,V8:AE15,5,FALSE)</f>
        <v>0</v>
      </c>
      <c r="O10" s="69">
        <f>VLOOKUP(2,V8:AE15,6,FALSE)</f>
        <v>0</v>
      </c>
      <c r="P10" s="69">
        <f>VLOOKUP(2,V8:AE15,7,FALSE)</f>
        <v>0</v>
      </c>
      <c r="Q10" s="69" t="str">
        <f>VLOOKUP(2,V8:AE15,8,FALSE) &amp; " - " &amp; VLOOKUP(2,V8:AE15,9,FALSE)</f>
        <v>0 - 0</v>
      </c>
      <c r="R10" s="70">
        <f t="shared" si="33"/>
        <v>0</v>
      </c>
      <c r="T10" s="111">
        <f t="shared" si="34"/>
        <v>43959.847222222219</v>
      </c>
      <c r="V10" s="111">
        <f>COUNTIF(AF8:AF15,CONCATENATE("&gt;=",AF10))</f>
        <v>3</v>
      </c>
      <c r="W10" s="112" t="str">
        <f>INDEX(T,51,lang)</f>
        <v>Czech Republic</v>
      </c>
      <c r="X10" s="111">
        <f t="shared" si="5"/>
        <v>0</v>
      </c>
      <c r="Y10" s="111">
        <f t="shared" si="6"/>
        <v>0</v>
      </c>
      <c r="Z10" s="111">
        <f t="shared" si="7"/>
        <v>0</v>
      </c>
      <c r="AA10" s="111">
        <f t="shared" si="8"/>
        <v>0</v>
      </c>
      <c r="AB10" s="111">
        <f t="shared" si="9"/>
        <v>0</v>
      </c>
      <c r="AC10" s="111">
        <f t="shared" si="10"/>
        <v>0</v>
      </c>
      <c r="AD10" s="111">
        <f t="shared" si="11"/>
        <v>0</v>
      </c>
      <c r="AE10" s="111">
        <f t="shared" si="12"/>
        <v>0</v>
      </c>
      <c r="AF10" s="112">
        <f t="shared" si="13"/>
        <v>9.9564950495049516</v>
      </c>
      <c r="AG10" s="111">
        <v>6.0000000000000001E-3</v>
      </c>
      <c r="AH10" s="111">
        <f>IF(COUNTIF(AE8:AE15,"=" &amp; AE10)=1,0,AE10)</f>
        <v>0</v>
      </c>
      <c r="AI10" s="111">
        <f>IF(AH10=AH16,1,0)</f>
        <v>0</v>
      </c>
      <c r="AJ10" s="111">
        <f t="shared" si="14"/>
        <v>0</v>
      </c>
      <c r="AK10" s="111">
        <f>IF(AJ10=AJ16,1,0)</f>
        <v>0</v>
      </c>
      <c r="AL10" s="111">
        <f t="shared" si="15"/>
        <v>1</v>
      </c>
      <c r="AN10" s="111">
        <f t="shared" si="16"/>
        <v>0</v>
      </c>
      <c r="AO10" s="111">
        <f t="shared" si="17"/>
        <v>0</v>
      </c>
      <c r="AP10" s="111">
        <f t="shared" si="18"/>
        <v>0</v>
      </c>
      <c r="AQ10" s="111">
        <f t="shared" si="19"/>
        <v>0</v>
      </c>
      <c r="AR10" s="111">
        <f t="shared" si="20"/>
        <v>0</v>
      </c>
      <c r="AS10" s="111">
        <f t="shared" si="21"/>
        <v>0</v>
      </c>
      <c r="AT10" s="111">
        <f t="shared" si="22"/>
        <v>0</v>
      </c>
      <c r="AU10" s="112">
        <f t="shared" si="23"/>
        <v>4.5004500450045006E-3</v>
      </c>
      <c r="AW10" s="111">
        <f t="shared" si="24"/>
        <v>0</v>
      </c>
      <c r="AX10" s="111">
        <f t="shared" si="25"/>
        <v>0</v>
      </c>
      <c r="AY10" s="111">
        <f t="shared" si="26"/>
        <v>0</v>
      </c>
      <c r="AZ10" s="111">
        <f t="shared" si="27"/>
        <v>0</v>
      </c>
      <c r="BA10" s="111">
        <f t="shared" si="28"/>
        <v>0</v>
      </c>
      <c r="BB10" s="111">
        <f t="shared" si="29"/>
        <v>0</v>
      </c>
      <c r="BC10" s="111">
        <f t="shared" si="30"/>
        <v>0</v>
      </c>
      <c r="BD10" s="112">
        <f t="shared" si="31"/>
        <v>4.5004500450045006E-3</v>
      </c>
      <c r="BF10" s="112" t="str">
        <f>IF(SUM(X8:X15)=56,K11,INDEX(T,54,lang) &amp; " A3")</f>
        <v>Team A3</v>
      </c>
      <c r="BH10" s="112" t="str">
        <f t="shared" si="35"/>
        <v/>
      </c>
      <c r="BI10" s="112" t="str">
        <f t="shared" si="36"/>
        <v/>
      </c>
      <c r="BJ10" s="111" t="str">
        <f t="shared" si="37"/>
        <v/>
      </c>
      <c r="BK10" s="111" t="str">
        <f t="shared" si="38"/>
        <v/>
      </c>
      <c r="BM10" s="112">
        <f t="shared" si="2"/>
        <v>0</v>
      </c>
      <c r="BN10" s="112" t="str">
        <f t="shared" si="39"/>
        <v/>
      </c>
      <c r="BO10" s="112" t="str">
        <f t="shared" si="40"/>
        <v/>
      </c>
      <c r="BP10" s="111" t="str">
        <f t="shared" si="41"/>
        <v/>
      </c>
      <c r="BQ10" s="111" t="str">
        <f t="shared" si="42"/>
        <v/>
      </c>
      <c r="BS10" s="112">
        <f t="shared" si="3"/>
        <v>0</v>
      </c>
      <c r="BT10" s="112" t="str">
        <f t="shared" si="43"/>
        <v/>
      </c>
      <c r="BU10" s="112" t="str">
        <f t="shared" si="44"/>
        <v/>
      </c>
      <c r="BV10" s="111" t="str">
        <f t="shared" si="45"/>
        <v/>
      </c>
      <c r="BW10" s="111" t="str">
        <f t="shared" si="46"/>
        <v/>
      </c>
      <c r="BY10" s="112">
        <f t="shared" si="4"/>
        <v>0</v>
      </c>
      <c r="BZ10" s="112" t="str">
        <f t="shared" si="47"/>
        <v/>
      </c>
      <c r="CA10" s="112" t="str">
        <f t="shared" si="48"/>
        <v/>
      </c>
      <c r="CB10" s="111" t="str">
        <f t="shared" si="49"/>
        <v/>
      </c>
      <c r="CC10" s="111" t="str">
        <f t="shared" si="50"/>
        <v/>
      </c>
    </row>
    <row r="11" spans="1:81" x14ac:dyDescent="0.2">
      <c r="A11" s="53" t="str">
        <f t="shared" si="0"/>
        <v>Sat</v>
      </c>
      <c r="B11" s="54" t="str">
        <f t="shared" si="1"/>
        <v>May 9, 2020</v>
      </c>
      <c r="C11" s="55">
        <f>TIME(23,20,0)+gmt_delta</f>
        <v>1.5138888888888888</v>
      </c>
      <c r="D11" s="86" t="str">
        <f>W11</f>
        <v>Germany</v>
      </c>
      <c r="E11" s="28"/>
      <c r="F11" s="23"/>
      <c r="G11" s="29"/>
      <c r="H11" s="89" t="str">
        <f>W15</f>
        <v>Great Britain</v>
      </c>
      <c r="I11" s="58" t="str">
        <f>INDEX(T,17,lang)</f>
        <v>Lausanne Arena</v>
      </c>
      <c r="K11" s="63" t="str">
        <f>VLOOKUP(3,V8:AE15,2,FALSE)</f>
        <v>Czech Republic</v>
      </c>
      <c r="L11" s="69">
        <f t="shared" si="32"/>
        <v>0</v>
      </c>
      <c r="M11" s="69">
        <f>VLOOKUP(3,V8:AE15,4,FALSE)</f>
        <v>0</v>
      </c>
      <c r="N11" s="69">
        <f>VLOOKUP(3,V8:AE15,5,FALSE)</f>
        <v>0</v>
      </c>
      <c r="O11" s="69">
        <f>VLOOKUP(3,V8:AE15,6,FALSE)</f>
        <v>0</v>
      </c>
      <c r="P11" s="69">
        <f>VLOOKUP(3,V8:AE15,7,FALSE)</f>
        <v>0</v>
      </c>
      <c r="Q11" s="69" t="str">
        <f>VLOOKUP(3,V8:AE15,8,FALSE) &amp; " - " &amp; VLOOKUP(3,V8:AE15,9,FALSE)</f>
        <v>0 - 0</v>
      </c>
      <c r="R11" s="70">
        <f t="shared" si="33"/>
        <v>0</v>
      </c>
      <c r="T11" s="111">
        <f>DATE(2020,5,8)+C11</f>
        <v>43960.513888888891</v>
      </c>
      <c r="V11" s="111">
        <f>COUNTIF(AF8:AF15,CONCATENATE("&gt;=",AF11))</f>
        <v>4</v>
      </c>
      <c r="W11" s="112" t="str">
        <f>INDEX(T,44,lang)</f>
        <v>Germany</v>
      </c>
      <c r="X11" s="111">
        <f t="shared" si="5"/>
        <v>0</v>
      </c>
      <c r="Y11" s="111">
        <f t="shared" si="6"/>
        <v>0</v>
      </c>
      <c r="Z11" s="111">
        <f t="shared" si="7"/>
        <v>0</v>
      </c>
      <c r="AA11" s="111">
        <f t="shared" si="8"/>
        <v>0</v>
      </c>
      <c r="AB11" s="111">
        <f t="shared" si="9"/>
        <v>0</v>
      </c>
      <c r="AC11" s="111">
        <f t="shared" si="10"/>
        <v>0</v>
      </c>
      <c r="AD11" s="111">
        <f t="shared" si="11"/>
        <v>0</v>
      </c>
      <c r="AE11" s="111">
        <f t="shared" si="12"/>
        <v>0</v>
      </c>
      <c r="AF11" s="112">
        <f t="shared" si="13"/>
        <v>9.9554950495049521</v>
      </c>
      <c r="AG11" s="111">
        <v>5.0000000000000001E-3</v>
      </c>
      <c r="AH11" s="111">
        <f>IF(COUNTIF(AE8:AE15,"=" &amp; AE11)=1,0,AE11)</f>
        <v>0</v>
      </c>
      <c r="AI11" s="111">
        <f>IF(AH11=AH16,1,0)</f>
        <v>0</v>
      </c>
      <c r="AJ11" s="111">
        <f t="shared" si="14"/>
        <v>0</v>
      </c>
      <c r="AK11" s="111">
        <f>IF(AJ11=AJ16,1,0)</f>
        <v>0</v>
      </c>
      <c r="AL11" s="111">
        <f t="shared" si="15"/>
        <v>0</v>
      </c>
      <c r="AN11" s="111">
        <f t="shared" si="16"/>
        <v>0</v>
      </c>
      <c r="AO11" s="111">
        <f t="shared" si="17"/>
        <v>0</v>
      </c>
      <c r="AP11" s="111">
        <f t="shared" si="18"/>
        <v>0</v>
      </c>
      <c r="AQ11" s="111">
        <f t="shared" si="19"/>
        <v>0</v>
      </c>
      <c r="AR11" s="111">
        <f t="shared" si="20"/>
        <v>0</v>
      </c>
      <c r="AS11" s="111">
        <f t="shared" si="21"/>
        <v>0</v>
      </c>
      <c r="AT11" s="111">
        <f t="shared" si="22"/>
        <v>0</v>
      </c>
      <c r="AU11" s="112">
        <f t="shared" si="23"/>
        <v>4.5004500450045006E-3</v>
      </c>
      <c r="AW11" s="111">
        <f t="shared" si="24"/>
        <v>0</v>
      </c>
      <c r="AX11" s="111">
        <f t="shared" si="25"/>
        <v>0</v>
      </c>
      <c r="AY11" s="111">
        <f t="shared" si="26"/>
        <v>0</v>
      </c>
      <c r="AZ11" s="111">
        <f t="shared" si="27"/>
        <v>0</v>
      </c>
      <c r="BA11" s="111">
        <f t="shared" si="28"/>
        <v>0</v>
      </c>
      <c r="BB11" s="111">
        <f t="shared" si="29"/>
        <v>0</v>
      </c>
      <c r="BC11" s="111">
        <f t="shared" si="30"/>
        <v>0</v>
      </c>
      <c r="BD11" s="112">
        <f t="shared" si="31"/>
        <v>4.5004500450045006E-3</v>
      </c>
      <c r="BF11" s="112" t="str">
        <f>IF(SUM(X8:X15)=56,K12,INDEX(T,54,lang) &amp; " A4")</f>
        <v>Team A4</v>
      </c>
      <c r="BH11" s="112" t="str">
        <f t="shared" si="35"/>
        <v/>
      </c>
      <c r="BI11" s="112" t="str">
        <f t="shared" si="36"/>
        <v/>
      </c>
      <c r="BJ11" s="111" t="str">
        <f t="shared" si="37"/>
        <v/>
      </c>
      <c r="BK11" s="111" t="str">
        <f t="shared" si="38"/>
        <v/>
      </c>
      <c r="BM11" s="112">
        <f t="shared" si="2"/>
        <v>0</v>
      </c>
      <c r="BN11" s="112" t="str">
        <f t="shared" si="39"/>
        <v/>
      </c>
      <c r="BO11" s="112" t="str">
        <f t="shared" si="40"/>
        <v/>
      </c>
      <c r="BP11" s="111" t="str">
        <f t="shared" si="41"/>
        <v/>
      </c>
      <c r="BQ11" s="111" t="str">
        <f t="shared" si="42"/>
        <v/>
      </c>
      <c r="BS11" s="112">
        <f t="shared" si="3"/>
        <v>0</v>
      </c>
      <c r="BT11" s="112" t="str">
        <f t="shared" si="43"/>
        <v/>
      </c>
      <c r="BU11" s="112" t="str">
        <f t="shared" si="44"/>
        <v/>
      </c>
      <c r="BV11" s="111" t="str">
        <f t="shared" si="45"/>
        <v/>
      </c>
      <c r="BW11" s="111" t="str">
        <f t="shared" si="46"/>
        <v/>
      </c>
      <c r="BY11" s="112">
        <f t="shared" si="4"/>
        <v>0</v>
      </c>
      <c r="BZ11" s="112" t="str">
        <f t="shared" si="47"/>
        <v/>
      </c>
      <c r="CA11" s="112" t="str">
        <f t="shared" si="48"/>
        <v/>
      </c>
      <c r="CB11" s="111" t="str">
        <f t="shared" si="49"/>
        <v/>
      </c>
      <c r="CC11" s="111" t="str">
        <f t="shared" si="50"/>
        <v/>
      </c>
    </row>
    <row r="12" spans="1:81" x14ac:dyDescent="0.2">
      <c r="A12" s="53" t="str">
        <f t="shared" si="0"/>
        <v>Sat</v>
      </c>
      <c r="B12" s="54" t="str">
        <f t="shared" si="1"/>
        <v>May 9, 2020</v>
      </c>
      <c r="C12" s="55">
        <f>TIME(23,20,0)+gmt_delta</f>
        <v>1.5138888888888888</v>
      </c>
      <c r="D12" s="86" t="str">
        <f>W24</f>
        <v>Italy</v>
      </c>
      <c r="E12" s="28"/>
      <c r="F12" s="23"/>
      <c r="G12" s="29"/>
      <c r="H12" s="89" t="str">
        <f>W20</f>
        <v>United States</v>
      </c>
      <c r="I12" s="58" t="str">
        <f>INDEX(T,18,lang)</f>
        <v>Hallenstadion</v>
      </c>
      <c r="K12" s="63" t="str">
        <f>VLOOKUP(4,V8:AE15,2,FALSE)</f>
        <v>Germany</v>
      </c>
      <c r="L12" s="69">
        <f t="shared" si="32"/>
        <v>0</v>
      </c>
      <c r="M12" s="69">
        <f>VLOOKUP(4,V8:AE15,4,FALSE)</f>
        <v>0</v>
      </c>
      <c r="N12" s="69">
        <f>VLOOKUP(4,V8:AE15,5,FALSE)</f>
        <v>0</v>
      </c>
      <c r="O12" s="69">
        <f>VLOOKUP(4,V8:AE15,6,FALSE)</f>
        <v>0</v>
      </c>
      <c r="P12" s="69">
        <f>VLOOKUP(4,V8:AE15,7,FALSE)</f>
        <v>0</v>
      </c>
      <c r="Q12" s="69" t="str">
        <f>VLOOKUP(4,V8:AE15,8,FALSE) &amp; " - " &amp; VLOOKUP(4,V8:AE15,9,FALSE)</f>
        <v>0 - 0</v>
      </c>
      <c r="R12" s="70">
        <f t="shared" si="33"/>
        <v>0</v>
      </c>
      <c r="T12" s="111">
        <f>DATE(2020,5,8)+C12</f>
        <v>43960.513888888891</v>
      </c>
      <c r="V12" s="111">
        <f>COUNTIF(AF8:AF15,CONCATENATE("&gt;=",AF12))</f>
        <v>5</v>
      </c>
      <c r="W12" s="112" t="str">
        <f>INDEX(T,41,lang)</f>
        <v>Slovakia</v>
      </c>
      <c r="X12" s="111">
        <f t="shared" si="5"/>
        <v>0</v>
      </c>
      <c r="Y12" s="111">
        <f t="shared" si="6"/>
        <v>0</v>
      </c>
      <c r="Z12" s="111">
        <f t="shared" si="7"/>
        <v>0</v>
      </c>
      <c r="AA12" s="111">
        <f t="shared" si="8"/>
        <v>0</v>
      </c>
      <c r="AB12" s="111">
        <f t="shared" si="9"/>
        <v>0</v>
      </c>
      <c r="AC12" s="111">
        <f t="shared" si="10"/>
        <v>0</v>
      </c>
      <c r="AD12" s="111">
        <f t="shared" si="11"/>
        <v>0</v>
      </c>
      <c r="AE12" s="111">
        <f t="shared" si="12"/>
        <v>0</v>
      </c>
      <c r="AF12" s="112">
        <f t="shared" si="13"/>
        <v>9.9544950495049509</v>
      </c>
      <c r="AG12" s="111">
        <v>4.0000000000000001E-3</v>
      </c>
      <c r="AH12" s="111">
        <f>IF(COUNTIF(AE8:AE15,"=" &amp; AE12)=1,0,AE12)</f>
        <v>0</v>
      </c>
      <c r="AI12" s="111">
        <f>IF(AH12=AH16,1,0)</f>
        <v>0</v>
      </c>
      <c r="AJ12" s="111">
        <f t="shared" si="14"/>
        <v>0</v>
      </c>
      <c r="AK12" s="111">
        <f>IF(AJ12=AJ16,1,0)</f>
        <v>0</v>
      </c>
      <c r="AL12" s="111">
        <f t="shared" si="15"/>
        <v>1</v>
      </c>
      <c r="AN12" s="111">
        <f t="shared" si="16"/>
        <v>0</v>
      </c>
      <c r="AO12" s="111">
        <f t="shared" si="17"/>
        <v>0</v>
      </c>
      <c r="AP12" s="111">
        <f t="shared" si="18"/>
        <v>0</v>
      </c>
      <c r="AQ12" s="111">
        <f t="shared" si="19"/>
        <v>0</v>
      </c>
      <c r="AR12" s="111">
        <f t="shared" si="20"/>
        <v>0</v>
      </c>
      <c r="AS12" s="111">
        <f t="shared" si="21"/>
        <v>0</v>
      </c>
      <c r="AT12" s="111">
        <f t="shared" si="22"/>
        <v>0</v>
      </c>
      <c r="AU12" s="112">
        <f t="shared" si="23"/>
        <v>4.5004500450045006E-3</v>
      </c>
      <c r="AW12" s="111">
        <f t="shared" si="24"/>
        <v>0</v>
      </c>
      <c r="AX12" s="111">
        <f t="shared" si="25"/>
        <v>0</v>
      </c>
      <c r="AY12" s="111">
        <f t="shared" si="26"/>
        <v>0</v>
      </c>
      <c r="AZ12" s="111">
        <f t="shared" si="27"/>
        <v>0</v>
      </c>
      <c r="BA12" s="111">
        <f t="shared" si="28"/>
        <v>0</v>
      </c>
      <c r="BB12" s="111">
        <f t="shared" si="29"/>
        <v>0</v>
      </c>
      <c r="BC12" s="111">
        <f t="shared" si="30"/>
        <v>0</v>
      </c>
      <c r="BD12" s="112">
        <f t="shared" si="31"/>
        <v>4.5004500450045006E-3</v>
      </c>
      <c r="BH12" s="112" t="str">
        <f t="shared" si="35"/>
        <v/>
      </c>
      <c r="BI12" s="112" t="str">
        <f t="shared" si="36"/>
        <v/>
      </c>
      <c r="BJ12" s="111" t="str">
        <f t="shared" si="37"/>
        <v/>
      </c>
      <c r="BK12" s="111" t="str">
        <f t="shared" si="38"/>
        <v/>
      </c>
      <c r="BM12" s="112">
        <f t="shared" si="2"/>
        <v>0</v>
      </c>
      <c r="BN12" s="112" t="str">
        <f t="shared" si="39"/>
        <v/>
      </c>
      <c r="BO12" s="112" t="str">
        <f t="shared" si="40"/>
        <v/>
      </c>
      <c r="BP12" s="111" t="str">
        <f t="shared" si="41"/>
        <v/>
      </c>
      <c r="BQ12" s="111" t="str">
        <f t="shared" si="42"/>
        <v/>
      </c>
      <c r="BS12" s="112">
        <f t="shared" si="3"/>
        <v>0</v>
      </c>
      <c r="BT12" s="112" t="str">
        <f t="shared" si="43"/>
        <v/>
      </c>
      <c r="BU12" s="112" t="str">
        <f t="shared" si="44"/>
        <v/>
      </c>
      <c r="BV12" s="111" t="str">
        <f t="shared" si="45"/>
        <v/>
      </c>
      <c r="BW12" s="111" t="str">
        <f t="shared" si="46"/>
        <v/>
      </c>
      <c r="BY12" s="112">
        <f t="shared" si="4"/>
        <v>1</v>
      </c>
      <c r="BZ12" s="112" t="str">
        <f t="shared" si="47"/>
        <v/>
      </c>
      <c r="CA12" s="112" t="str">
        <f t="shared" si="48"/>
        <v/>
      </c>
      <c r="CB12" s="111" t="str">
        <f t="shared" si="49"/>
        <v/>
      </c>
      <c r="CC12" s="111" t="str">
        <f t="shared" si="50"/>
        <v/>
      </c>
    </row>
    <row r="13" spans="1:81" x14ac:dyDescent="0.2">
      <c r="A13" s="53" t="str">
        <f t="shared" si="0"/>
        <v>Sat</v>
      </c>
      <c r="B13" s="54" t="str">
        <f t="shared" si="1"/>
        <v>May 9, 2020</v>
      </c>
      <c r="C13" s="55">
        <f>TIME(3,20,0)+gmt_delta</f>
        <v>0.68055555555555558</v>
      </c>
      <c r="D13" s="86" t="str">
        <f>W12</f>
        <v>Slovakia</v>
      </c>
      <c r="E13" s="28"/>
      <c r="F13" s="23"/>
      <c r="G13" s="29"/>
      <c r="H13" s="89" t="str">
        <f>W13</f>
        <v>Denmark</v>
      </c>
      <c r="I13" s="58" t="str">
        <f>INDEX(T,17,lang)</f>
        <v>Lausanne Arena</v>
      </c>
      <c r="K13" s="63" t="str">
        <f>VLOOKUP(5,V8:AE15,2,FALSE)</f>
        <v>Slovakia</v>
      </c>
      <c r="L13" s="69">
        <f t="shared" si="32"/>
        <v>0</v>
      </c>
      <c r="M13" s="69">
        <f>VLOOKUP(5,V8:AE15,4,FALSE)</f>
        <v>0</v>
      </c>
      <c r="N13" s="69">
        <f>VLOOKUP(5,V8:AE15,5,FALSE)</f>
        <v>0</v>
      </c>
      <c r="O13" s="69">
        <f>VLOOKUP(5,V8:AE15,6,FALSE)</f>
        <v>0</v>
      </c>
      <c r="P13" s="69">
        <f>VLOOKUP(5,V8:AE15,7,FALSE)</f>
        <v>0</v>
      </c>
      <c r="Q13" s="69" t="str">
        <f>VLOOKUP(5,V8:AE15,8,FALSE) &amp; " - " &amp; VLOOKUP(5,V8:AE15,9,FALSE)</f>
        <v>0 - 0</v>
      </c>
      <c r="R13" s="70">
        <f t="shared" si="33"/>
        <v>0</v>
      </c>
      <c r="T13" s="111">
        <f t="shared" ref="T13:T18" si="51">DATE(2020,5,9)+C13</f>
        <v>43960.680555555555</v>
      </c>
      <c r="V13" s="111">
        <f>COUNTIF(AF8:AF15,CONCATENATE("&gt;=",AF13))</f>
        <v>6</v>
      </c>
      <c r="W13" s="112" t="str">
        <f>INDEX(T,53,lang)</f>
        <v>Denmark</v>
      </c>
      <c r="X13" s="111">
        <f t="shared" si="5"/>
        <v>0</v>
      </c>
      <c r="Y13" s="111">
        <f t="shared" si="6"/>
        <v>0</v>
      </c>
      <c r="Z13" s="111">
        <f t="shared" si="7"/>
        <v>0</v>
      </c>
      <c r="AA13" s="111">
        <f t="shared" si="8"/>
        <v>0</v>
      </c>
      <c r="AB13" s="111">
        <f t="shared" si="9"/>
        <v>0</v>
      </c>
      <c r="AC13" s="111">
        <f t="shared" si="10"/>
        <v>0</v>
      </c>
      <c r="AD13" s="111">
        <f t="shared" si="11"/>
        <v>0</v>
      </c>
      <c r="AE13" s="111">
        <f t="shared" si="12"/>
        <v>0</v>
      </c>
      <c r="AF13" s="112">
        <f t="shared" si="13"/>
        <v>9.9534950495049515</v>
      </c>
      <c r="AG13" s="111">
        <v>3.0000000000000001E-3</v>
      </c>
      <c r="AH13" s="111">
        <f>IF(COUNTIF(AE8:AE15,"=" &amp; AE13)=1,0,AE13)</f>
        <v>0</v>
      </c>
      <c r="AI13" s="111">
        <f>IF(AH13=AH16,1,0)</f>
        <v>0</v>
      </c>
      <c r="AJ13" s="111">
        <f>IF(AI13=0,AH13,0)</f>
        <v>0</v>
      </c>
      <c r="AK13" s="111">
        <f>IF(AJ13=AJ16,1,0)</f>
        <v>0</v>
      </c>
      <c r="AL13" s="111">
        <f t="shared" si="15"/>
        <v>1</v>
      </c>
      <c r="AN13" s="111">
        <f t="shared" si="16"/>
        <v>0</v>
      </c>
      <c r="AO13" s="111">
        <f t="shared" si="17"/>
        <v>0</v>
      </c>
      <c r="AP13" s="111">
        <f t="shared" si="18"/>
        <v>0</v>
      </c>
      <c r="AQ13" s="111">
        <f t="shared" si="19"/>
        <v>0</v>
      </c>
      <c r="AR13" s="111">
        <f t="shared" si="20"/>
        <v>0</v>
      </c>
      <c r="AS13" s="111">
        <f t="shared" si="21"/>
        <v>0</v>
      </c>
      <c r="AT13" s="111">
        <f t="shared" si="22"/>
        <v>0</v>
      </c>
      <c r="AU13" s="112">
        <f t="shared" si="23"/>
        <v>4.5004500450045006E-3</v>
      </c>
      <c r="AW13" s="111">
        <f t="shared" si="24"/>
        <v>0</v>
      </c>
      <c r="AX13" s="111">
        <f t="shared" si="25"/>
        <v>0</v>
      </c>
      <c r="AY13" s="111">
        <f t="shared" si="26"/>
        <v>0</v>
      </c>
      <c r="AZ13" s="111">
        <f t="shared" si="27"/>
        <v>0</v>
      </c>
      <c r="BA13" s="111">
        <f t="shared" si="28"/>
        <v>0</v>
      </c>
      <c r="BB13" s="111">
        <f t="shared" si="29"/>
        <v>0</v>
      </c>
      <c r="BC13" s="111">
        <f t="shared" si="30"/>
        <v>0</v>
      </c>
      <c r="BD13" s="112">
        <f t="shared" si="31"/>
        <v>4.5004500450045006E-3</v>
      </c>
      <c r="BH13" s="112" t="str">
        <f t="shared" si="35"/>
        <v/>
      </c>
      <c r="BI13" s="112" t="str">
        <f t="shared" si="36"/>
        <v/>
      </c>
      <c r="BJ13" s="111" t="str">
        <f t="shared" si="37"/>
        <v/>
      </c>
      <c r="BK13" s="111" t="str">
        <f t="shared" si="38"/>
        <v/>
      </c>
      <c r="BM13" s="112">
        <f t="shared" si="2"/>
        <v>0</v>
      </c>
      <c r="BN13" s="112" t="str">
        <f t="shared" si="39"/>
        <v/>
      </c>
      <c r="BO13" s="112" t="str">
        <f t="shared" si="40"/>
        <v/>
      </c>
      <c r="BP13" s="111" t="str">
        <f t="shared" si="41"/>
        <v/>
      </c>
      <c r="BQ13" s="111" t="str">
        <f t="shared" si="42"/>
        <v/>
      </c>
      <c r="BS13" s="112">
        <f t="shared" si="3"/>
        <v>0</v>
      </c>
      <c r="BT13" s="112" t="str">
        <f t="shared" si="43"/>
        <v/>
      </c>
      <c r="BU13" s="112" t="str">
        <f t="shared" si="44"/>
        <v/>
      </c>
      <c r="BV13" s="111" t="str">
        <f t="shared" si="45"/>
        <v/>
      </c>
      <c r="BW13" s="111" t="str">
        <f t="shared" si="46"/>
        <v/>
      </c>
      <c r="BY13" s="112">
        <f t="shared" si="4"/>
        <v>1</v>
      </c>
      <c r="BZ13" s="112" t="str">
        <f t="shared" si="47"/>
        <v/>
      </c>
      <c r="CA13" s="112" t="str">
        <f t="shared" si="48"/>
        <v/>
      </c>
      <c r="CB13" s="111" t="str">
        <f t="shared" si="49"/>
        <v/>
      </c>
      <c r="CC13" s="111" t="str">
        <f t="shared" si="50"/>
        <v/>
      </c>
    </row>
    <row r="14" spans="1:81" x14ac:dyDescent="0.2">
      <c r="A14" s="53" t="str">
        <f t="shared" si="0"/>
        <v>Sat</v>
      </c>
      <c r="B14" s="54" t="str">
        <f t="shared" si="1"/>
        <v>May 9, 2020</v>
      </c>
      <c r="C14" s="55">
        <f>TIME(3,20,0)+gmt_delta</f>
        <v>0.68055555555555558</v>
      </c>
      <c r="D14" s="86" t="str">
        <f>W22</f>
        <v>Latvia</v>
      </c>
      <c r="E14" s="28"/>
      <c r="F14" s="23"/>
      <c r="G14" s="29"/>
      <c r="H14" s="89" t="str">
        <f>W23</f>
        <v>Norway</v>
      </c>
      <c r="I14" s="58" t="str">
        <f>INDEX(T,18,lang)</f>
        <v>Hallenstadion</v>
      </c>
      <c r="K14" s="63" t="str">
        <f>VLOOKUP(6,V8:AE15,2,FALSE)</f>
        <v>Denmark</v>
      </c>
      <c r="L14" s="69">
        <f t="shared" si="32"/>
        <v>0</v>
      </c>
      <c r="M14" s="69">
        <f>VLOOKUP(6,V8:AE15,4,FALSE)</f>
        <v>0</v>
      </c>
      <c r="N14" s="69">
        <f>VLOOKUP(6,V8:AE15,5,FALSE)</f>
        <v>0</v>
      </c>
      <c r="O14" s="69">
        <f>VLOOKUP(6,V8:AE15,6,FALSE)</f>
        <v>0</v>
      </c>
      <c r="P14" s="69">
        <f>VLOOKUP(6,V8:AE15,7,FALSE)</f>
        <v>0</v>
      </c>
      <c r="Q14" s="69" t="str">
        <f>VLOOKUP(6,V8:AE15,8,FALSE) &amp; " - " &amp; VLOOKUP(6,V8:AE15,9,FALSE)</f>
        <v>0 - 0</v>
      </c>
      <c r="R14" s="70">
        <f t="shared" si="33"/>
        <v>0</v>
      </c>
      <c r="T14" s="111">
        <f t="shared" si="51"/>
        <v>43960.680555555555</v>
      </c>
      <c r="V14" s="111">
        <f>COUNTIF(AF8:AF15,CONCATENATE("&gt;=",AF14))</f>
        <v>7</v>
      </c>
      <c r="W14" s="112" t="str">
        <f>INDEX(T,40,lang)</f>
        <v>Belarus</v>
      </c>
      <c r="X14" s="111">
        <f t="shared" si="5"/>
        <v>0</v>
      </c>
      <c r="Y14" s="111">
        <f t="shared" si="6"/>
        <v>0</v>
      </c>
      <c r="Z14" s="111">
        <f t="shared" si="7"/>
        <v>0</v>
      </c>
      <c r="AA14" s="111">
        <f t="shared" si="8"/>
        <v>0</v>
      </c>
      <c r="AB14" s="111">
        <f t="shared" si="9"/>
        <v>0</v>
      </c>
      <c r="AC14" s="111">
        <f t="shared" si="10"/>
        <v>0</v>
      </c>
      <c r="AD14" s="111">
        <f t="shared" si="11"/>
        <v>0</v>
      </c>
      <c r="AE14" s="111">
        <f t="shared" si="12"/>
        <v>0</v>
      </c>
      <c r="AF14" s="112">
        <f t="shared" si="13"/>
        <v>9.952495049504952</v>
      </c>
      <c r="AG14" s="111">
        <v>2E-3</v>
      </c>
      <c r="AH14" s="111">
        <f>IF(COUNTIF(AE8:AE15,"=" &amp; AE14)=1,0,AE14)</f>
        <v>0</v>
      </c>
      <c r="AI14" s="111">
        <f>IF(AH14=AH16,1,0)</f>
        <v>0</v>
      </c>
      <c r="AJ14" s="111">
        <f t="shared" si="14"/>
        <v>0</v>
      </c>
      <c r="AK14" s="111">
        <f>IF(AJ14=AJ16,1,0)</f>
        <v>0</v>
      </c>
      <c r="AL14" s="111">
        <f t="shared" si="15"/>
        <v>1</v>
      </c>
      <c r="AN14" s="111">
        <f t="shared" si="16"/>
        <v>0</v>
      </c>
      <c r="AO14" s="111">
        <f t="shared" si="17"/>
        <v>0</v>
      </c>
      <c r="AP14" s="111">
        <f t="shared" si="18"/>
        <v>0</v>
      </c>
      <c r="AQ14" s="111">
        <f t="shared" si="19"/>
        <v>0</v>
      </c>
      <c r="AR14" s="111">
        <f t="shared" si="20"/>
        <v>0</v>
      </c>
      <c r="AS14" s="111">
        <f t="shared" si="21"/>
        <v>0</v>
      </c>
      <c r="AT14" s="111">
        <f t="shared" si="22"/>
        <v>0</v>
      </c>
      <c r="AU14" s="112">
        <f t="shared" si="23"/>
        <v>4.5004500450045006E-3</v>
      </c>
      <c r="AW14" s="111">
        <f t="shared" si="24"/>
        <v>0</v>
      </c>
      <c r="AX14" s="111">
        <f t="shared" si="25"/>
        <v>0</v>
      </c>
      <c r="AY14" s="111">
        <f t="shared" si="26"/>
        <v>0</v>
      </c>
      <c r="AZ14" s="111">
        <f t="shared" si="27"/>
        <v>0</v>
      </c>
      <c r="BA14" s="111">
        <f t="shared" si="28"/>
        <v>0</v>
      </c>
      <c r="BB14" s="111">
        <f t="shared" si="29"/>
        <v>0</v>
      </c>
      <c r="BC14" s="111">
        <f t="shared" si="30"/>
        <v>0</v>
      </c>
      <c r="BD14" s="112">
        <f t="shared" si="31"/>
        <v>4.5004500450045006E-3</v>
      </c>
      <c r="BH14" s="112" t="str">
        <f t="shared" si="35"/>
        <v/>
      </c>
      <c r="BI14" s="112" t="str">
        <f t="shared" si="36"/>
        <v/>
      </c>
      <c r="BJ14" s="111" t="str">
        <f t="shared" si="37"/>
        <v/>
      </c>
      <c r="BK14" s="111" t="str">
        <f t="shared" si="38"/>
        <v/>
      </c>
      <c r="BM14" s="112">
        <f t="shared" si="2"/>
        <v>0</v>
      </c>
      <c r="BN14" s="112" t="str">
        <f t="shared" si="39"/>
        <v/>
      </c>
      <c r="BO14" s="112" t="str">
        <f t="shared" si="40"/>
        <v/>
      </c>
      <c r="BP14" s="111" t="str">
        <f t="shared" si="41"/>
        <v/>
      </c>
      <c r="BQ14" s="111" t="str">
        <f t="shared" si="42"/>
        <v/>
      </c>
      <c r="BS14" s="112">
        <f t="shared" si="3"/>
        <v>0</v>
      </c>
      <c r="BT14" s="112" t="str">
        <f t="shared" si="43"/>
        <v/>
      </c>
      <c r="BU14" s="112" t="str">
        <f t="shared" si="44"/>
        <v/>
      </c>
      <c r="BV14" s="111" t="str">
        <f t="shared" si="45"/>
        <v/>
      </c>
      <c r="BW14" s="111" t="str">
        <f t="shared" si="46"/>
        <v/>
      </c>
      <c r="BY14" s="112">
        <f t="shared" si="4"/>
        <v>1</v>
      </c>
      <c r="BZ14" s="112" t="str">
        <f t="shared" si="47"/>
        <v/>
      </c>
      <c r="CA14" s="112" t="str">
        <f t="shared" si="48"/>
        <v/>
      </c>
      <c r="CB14" s="111" t="str">
        <f t="shared" si="49"/>
        <v/>
      </c>
      <c r="CC14" s="111" t="str">
        <f t="shared" si="50"/>
        <v/>
      </c>
    </row>
    <row r="15" spans="1:81" x14ac:dyDescent="0.2">
      <c r="A15" s="53" t="str">
        <f t="shared" si="0"/>
        <v>Sat</v>
      </c>
      <c r="B15" s="54" t="str">
        <f t="shared" si="1"/>
        <v>May 9, 2020</v>
      </c>
      <c r="C15" s="55">
        <f>TIME(7,20,0)+gmt_delta</f>
        <v>0.8472222222222221</v>
      </c>
      <c r="D15" s="86" t="str">
        <f>W14</f>
        <v>Belarus</v>
      </c>
      <c r="E15" s="28"/>
      <c r="F15" s="23"/>
      <c r="G15" s="29"/>
      <c r="H15" s="89" t="str">
        <f>W10</f>
        <v>Czech Republic</v>
      </c>
      <c r="I15" s="58" t="str">
        <f>INDEX(T,17,lang)</f>
        <v>Lausanne Arena</v>
      </c>
      <c r="K15" s="63" t="str">
        <f>VLOOKUP(7,V8:AE15,2,FALSE)</f>
        <v>Belarus</v>
      </c>
      <c r="L15" s="69">
        <f t="shared" si="32"/>
        <v>0</v>
      </c>
      <c r="M15" s="69">
        <f>VLOOKUP(7,V8:AE15,4,FALSE)</f>
        <v>0</v>
      </c>
      <c r="N15" s="69">
        <f>VLOOKUP(7,V8:AE15,5,FALSE)</f>
        <v>0</v>
      </c>
      <c r="O15" s="69">
        <f>VLOOKUP(7,V8:AE15,6,FALSE)</f>
        <v>0</v>
      </c>
      <c r="P15" s="69">
        <f>VLOOKUP(7,V8:AE15,7,FALSE)</f>
        <v>0</v>
      </c>
      <c r="Q15" s="69" t="str">
        <f>VLOOKUP(7,V8:AE15,8,FALSE) &amp; " - " &amp; VLOOKUP(7,V8:AE15,9,FALSE)</f>
        <v>0 - 0</v>
      </c>
      <c r="R15" s="70">
        <f t="shared" si="33"/>
        <v>0</v>
      </c>
      <c r="T15" s="111">
        <f t="shared" si="51"/>
        <v>43960.847222222219</v>
      </c>
      <c r="V15" s="111">
        <f>COUNTIF(AF8:AF15,CONCATENATE("&gt;=",AF15))</f>
        <v>8</v>
      </c>
      <c r="W15" s="112" t="str">
        <f>INDEX(T,45,lang)</f>
        <v>Great Britain</v>
      </c>
      <c r="X15" s="111">
        <f t="shared" si="5"/>
        <v>0</v>
      </c>
      <c r="Y15" s="111">
        <f t="shared" si="6"/>
        <v>0</v>
      </c>
      <c r="Z15" s="111">
        <f t="shared" si="7"/>
        <v>0</v>
      </c>
      <c r="AA15" s="111">
        <f t="shared" si="8"/>
        <v>0</v>
      </c>
      <c r="AB15" s="111">
        <f t="shared" si="9"/>
        <v>0</v>
      </c>
      <c r="AC15" s="111">
        <f t="shared" si="10"/>
        <v>0</v>
      </c>
      <c r="AD15" s="111">
        <f t="shared" si="11"/>
        <v>0</v>
      </c>
      <c r="AE15" s="111">
        <f t="shared" si="12"/>
        <v>0</v>
      </c>
      <c r="AF15" s="112">
        <f t="shared" si="13"/>
        <v>9.9514950495049508</v>
      </c>
      <c r="AG15" s="111">
        <v>1E-3</v>
      </c>
      <c r="AH15" s="111">
        <f>IF(COUNTIF(AE8:AE15,"=" &amp; AE15)=1,0,AE15)</f>
        <v>0</v>
      </c>
      <c r="AI15" s="111">
        <f>IF(AH15=AH16,1,0)</f>
        <v>0</v>
      </c>
      <c r="AJ15" s="111">
        <f t="shared" si="14"/>
        <v>0</v>
      </c>
      <c r="AK15" s="111">
        <f>IF(AJ15=AJ16,1,0)</f>
        <v>0</v>
      </c>
      <c r="AL15" s="111">
        <f t="shared" si="15"/>
        <v>1</v>
      </c>
      <c r="AN15" s="111">
        <f t="shared" si="16"/>
        <v>0</v>
      </c>
      <c r="AO15" s="111">
        <f t="shared" si="17"/>
        <v>0</v>
      </c>
      <c r="AP15" s="111">
        <f t="shared" si="18"/>
        <v>0</v>
      </c>
      <c r="AQ15" s="111">
        <f t="shared" si="19"/>
        <v>0</v>
      </c>
      <c r="AR15" s="111">
        <f t="shared" si="20"/>
        <v>0</v>
      </c>
      <c r="AS15" s="111">
        <f t="shared" si="21"/>
        <v>0</v>
      </c>
      <c r="AT15" s="111">
        <f t="shared" si="22"/>
        <v>0</v>
      </c>
      <c r="AU15" s="112">
        <f t="shared" si="23"/>
        <v>4.5004500450045006E-3</v>
      </c>
      <c r="AW15" s="111">
        <f t="shared" si="24"/>
        <v>0</v>
      </c>
      <c r="AX15" s="111">
        <f t="shared" si="25"/>
        <v>0</v>
      </c>
      <c r="AY15" s="111">
        <f t="shared" si="26"/>
        <v>0</v>
      </c>
      <c r="AZ15" s="111">
        <f t="shared" si="27"/>
        <v>0</v>
      </c>
      <c r="BA15" s="111">
        <f t="shared" si="28"/>
        <v>0</v>
      </c>
      <c r="BB15" s="111">
        <f t="shared" si="29"/>
        <v>0</v>
      </c>
      <c r="BC15" s="111">
        <f t="shared" si="30"/>
        <v>0</v>
      </c>
      <c r="BD15" s="112">
        <f t="shared" si="31"/>
        <v>4.5004500450045006E-3</v>
      </c>
      <c r="BH15" s="112" t="str">
        <f t="shared" si="35"/>
        <v/>
      </c>
      <c r="BI15" s="112" t="str">
        <f t="shared" si="36"/>
        <v/>
      </c>
      <c r="BJ15" s="111" t="str">
        <f t="shared" si="37"/>
        <v/>
      </c>
      <c r="BK15" s="111" t="str">
        <f t="shared" si="38"/>
        <v/>
      </c>
      <c r="BM15" s="112">
        <f t="shared" si="2"/>
        <v>0</v>
      </c>
      <c r="BN15" s="112" t="str">
        <f t="shared" si="39"/>
        <v/>
      </c>
      <c r="BO15" s="112" t="str">
        <f t="shared" si="40"/>
        <v/>
      </c>
      <c r="BP15" s="111" t="str">
        <f t="shared" si="41"/>
        <v/>
      </c>
      <c r="BQ15" s="111" t="str">
        <f t="shared" si="42"/>
        <v/>
      </c>
      <c r="BS15" s="112">
        <f t="shared" si="3"/>
        <v>0</v>
      </c>
      <c r="BT15" s="112" t="str">
        <f t="shared" si="43"/>
        <v/>
      </c>
      <c r="BU15" s="112" t="str">
        <f t="shared" si="44"/>
        <v/>
      </c>
      <c r="BV15" s="111" t="str">
        <f t="shared" si="45"/>
        <v/>
      </c>
      <c r="BW15" s="111" t="str">
        <f t="shared" si="46"/>
        <v/>
      </c>
      <c r="BY15" s="112">
        <f t="shared" si="4"/>
        <v>1</v>
      </c>
      <c r="BZ15" s="112" t="str">
        <f t="shared" si="47"/>
        <v/>
      </c>
      <c r="CA15" s="112" t="str">
        <f t="shared" si="48"/>
        <v/>
      </c>
      <c r="CB15" s="111" t="str">
        <f t="shared" si="49"/>
        <v/>
      </c>
      <c r="CC15" s="111" t="str">
        <f t="shared" si="50"/>
        <v/>
      </c>
    </row>
    <row r="16" spans="1:81" x14ac:dyDescent="0.2">
      <c r="A16" s="53" t="str">
        <f t="shared" si="0"/>
        <v>Sat</v>
      </c>
      <c r="B16" s="54" t="str">
        <f t="shared" si="1"/>
        <v>May 9, 2020</v>
      </c>
      <c r="C16" s="55">
        <f>TIME(7,20,0)+gmt_delta</f>
        <v>0.8472222222222221</v>
      </c>
      <c r="D16" s="86" t="str">
        <f>W21</f>
        <v>Switzerland</v>
      </c>
      <c r="E16" s="28"/>
      <c r="F16" s="23"/>
      <c r="G16" s="29"/>
      <c r="H16" s="89" t="str">
        <f>W25</f>
        <v>Kazakhstan</v>
      </c>
      <c r="I16" s="58" t="str">
        <f>INDEX(T,18,lang)</f>
        <v>Hallenstadion</v>
      </c>
      <c r="K16" s="64" t="str">
        <f>VLOOKUP(8,V8:AE15,2,FALSE)</f>
        <v>Great Britain</v>
      </c>
      <c r="L16" s="71">
        <f t="shared" si="32"/>
        <v>0</v>
      </c>
      <c r="M16" s="71">
        <f>VLOOKUP(8,V8:AE15,4,FALSE)</f>
        <v>0</v>
      </c>
      <c r="N16" s="71">
        <f>VLOOKUP(8,V8:AE15,5,FALSE)</f>
        <v>0</v>
      </c>
      <c r="O16" s="71">
        <f>VLOOKUP(8,V8:AE15,6,FALSE)</f>
        <v>0</v>
      </c>
      <c r="P16" s="71">
        <f>VLOOKUP(8,V8:AE15,7,FALSE)</f>
        <v>0</v>
      </c>
      <c r="Q16" s="71" t="str">
        <f>VLOOKUP(8,V8:AE15,8,FALSE) &amp; " - " &amp; VLOOKUP(8,V8:AE15,9,FALSE)</f>
        <v>0 - 0</v>
      </c>
      <c r="R16" s="72">
        <f t="shared" si="33"/>
        <v>0</v>
      </c>
      <c r="T16" s="111">
        <f t="shared" si="51"/>
        <v>43960.847222222219</v>
      </c>
      <c r="AH16" s="113">
        <f>IF(MAX(AH12:AH15)=0,-1,MAX(AH12:AH15))</f>
        <v>-1</v>
      </c>
      <c r="AI16" s="111"/>
      <c r="AJ16" s="113">
        <f>IF(MAX(AJ12:AJ15)=0,-1,MAX(AJ12:AJ15))</f>
        <v>-1</v>
      </c>
      <c r="AK16" s="111"/>
      <c r="AL16" s="111"/>
      <c r="BH16" s="112" t="str">
        <f t="shared" si="35"/>
        <v/>
      </c>
      <c r="BI16" s="112" t="str">
        <f t="shared" si="36"/>
        <v/>
      </c>
      <c r="BJ16" s="111" t="str">
        <f t="shared" si="37"/>
        <v/>
      </c>
      <c r="BK16" s="111" t="str">
        <f t="shared" si="38"/>
        <v/>
      </c>
      <c r="BM16" s="112">
        <f t="shared" si="2"/>
        <v>0</v>
      </c>
      <c r="BN16" s="112" t="str">
        <f t="shared" si="39"/>
        <v/>
      </c>
      <c r="BO16" s="112" t="str">
        <f t="shared" si="40"/>
        <v/>
      </c>
      <c r="BP16" s="111" t="str">
        <f t="shared" si="41"/>
        <v/>
      </c>
      <c r="BQ16" s="111" t="str">
        <f t="shared" si="42"/>
        <v/>
      </c>
      <c r="BS16" s="112">
        <f t="shared" si="3"/>
        <v>0</v>
      </c>
      <c r="BT16" s="112" t="str">
        <f t="shared" si="43"/>
        <v/>
      </c>
      <c r="BU16" s="112" t="str">
        <f t="shared" si="44"/>
        <v/>
      </c>
      <c r="BV16" s="111" t="str">
        <f t="shared" si="45"/>
        <v/>
      </c>
      <c r="BW16" s="111" t="str">
        <f t="shared" si="46"/>
        <v/>
      </c>
      <c r="BY16" s="112">
        <f t="shared" si="4"/>
        <v>0</v>
      </c>
      <c r="BZ16" s="112" t="str">
        <f t="shared" si="47"/>
        <v/>
      </c>
      <c r="CA16" s="112" t="str">
        <f t="shared" si="48"/>
        <v/>
      </c>
      <c r="CB16" s="111" t="str">
        <f t="shared" si="49"/>
        <v/>
      </c>
      <c r="CC16" s="111" t="str">
        <f t="shared" si="50"/>
        <v/>
      </c>
    </row>
    <row r="17" spans="1:81" x14ac:dyDescent="0.2">
      <c r="A17" s="53" t="str">
        <f t="shared" si="0"/>
        <v>Sun</v>
      </c>
      <c r="B17" s="54" t="str">
        <f t="shared" si="1"/>
        <v>May 10, 2020</v>
      </c>
      <c r="C17" s="55">
        <f>TIME(23,20,0)+gmt_delta</f>
        <v>1.5138888888888888</v>
      </c>
      <c r="D17" s="86" t="str">
        <f>W15</f>
        <v>Great Britain</v>
      </c>
      <c r="E17" s="28"/>
      <c r="F17" s="23"/>
      <c r="G17" s="29"/>
      <c r="H17" s="89" t="str">
        <f>W12</f>
        <v>Slovakia</v>
      </c>
      <c r="I17" s="58" t="str">
        <f>INDEX(T,18,lang)</f>
        <v>Hallenstadion</v>
      </c>
      <c r="K17" s="73"/>
      <c r="L17" s="74"/>
      <c r="M17" s="74"/>
      <c r="N17" s="74"/>
      <c r="O17" s="74"/>
      <c r="P17" s="74"/>
      <c r="Q17" s="74"/>
      <c r="R17" s="74"/>
      <c r="T17" s="111">
        <f t="shared" si="51"/>
        <v>43961.513888888891</v>
      </c>
      <c r="BH17" s="112" t="str">
        <f t="shared" si="35"/>
        <v/>
      </c>
      <c r="BI17" s="112" t="str">
        <f t="shared" si="36"/>
        <v/>
      </c>
      <c r="BJ17" s="111" t="str">
        <f t="shared" si="37"/>
        <v/>
      </c>
      <c r="BK17" s="111" t="str">
        <f t="shared" si="38"/>
        <v/>
      </c>
      <c r="BM17" s="112">
        <f t="shared" si="2"/>
        <v>0</v>
      </c>
      <c r="BN17" s="112" t="str">
        <f t="shared" si="39"/>
        <v/>
      </c>
      <c r="BO17" s="112" t="str">
        <f t="shared" si="40"/>
        <v/>
      </c>
      <c r="BP17" s="111" t="str">
        <f t="shared" si="41"/>
        <v/>
      </c>
      <c r="BQ17" s="111" t="str">
        <f t="shared" si="42"/>
        <v/>
      </c>
      <c r="BS17" s="112">
        <f t="shared" si="3"/>
        <v>0</v>
      </c>
      <c r="BT17" s="112" t="str">
        <f t="shared" si="43"/>
        <v/>
      </c>
      <c r="BU17" s="112" t="str">
        <f t="shared" si="44"/>
        <v/>
      </c>
      <c r="BV17" s="111" t="str">
        <f t="shared" si="45"/>
        <v/>
      </c>
      <c r="BW17" s="111" t="str">
        <f t="shared" si="46"/>
        <v/>
      </c>
      <c r="BY17" s="112">
        <f t="shared" si="4"/>
        <v>1</v>
      </c>
      <c r="BZ17" s="112" t="str">
        <f t="shared" si="47"/>
        <v/>
      </c>
      <c r="CA17" s="112" t="str">
        <f t="shared" si="48"/>
        <v/>
      </c>
      <c r="CB17" s="111" t="str">
        <f t="shared" si="49"/>
        <v/>
      </c>
      <c r="CC17" s="111" t="str">
        <f t="shared" si="50"/>
        <v/>
      </c>
    </row>
    <row r="18" spans="1:81" x14ac:dyDescent="0.2">
      <c r="A18" s="53" t="str">
        <f t="shared" si="0"/>
        <v>Sun</v>
      </c>
      <c r="B18" s="54" t="str">
        <f t="shared" si="1"/>
        <v>May 10, 2020</v>
      </c>
      <c r="C18" s="55">
        <f>TIME(23,20,0)+gmt_delta</f>
        <v>1.5138888888888888</v>
      </c>
      <c r="D18" s="86" t="str">
        <f>W18</f>
        <v>Russian Federation</v>
      </c>
      <c r="E18" s="28"/>
      <c r="F18" s="23"/>
      <c r="G18" s="29"/>
      <c r="H18" s="89" t="str">
        <f>W23</f>
        <v>Norway</v>
      </c>
      <c r="I18" s="58" t="str">
        <f>INDEX(T,17,lang)</f>
        <v>Lausanne Arena</v>
      </c>
      <c r="K18" s="59" t="str">
        <f>INDEX(T,9,lang) &amp; " " &amp; "B"</f>
        <v>Group B</v>
      </c>
      <c r="L18" s="60" t="str">
        <f>INDEX(T,10,lang)</f>
        <v>PL</v>
      </c>
      <c r="M18" s="60" t="str">
        <f>INDEX(T,11,lang)</f>
        <v>W</v>
      </c>
      <c r="N18" s="60" t="str">
        <f>INDEX(T,12,lang)</f>
        <v>OT-W</v>
      </c>
      <c r="O18" s="60" t="str">
        <f>INDEX(T,13,lang)</f>
        <v>OT-L</v>
      </c>
      <c r="P18" s="60" t="str">
        <f>INDEX(T,14,lang)</f>
        <v>L</v>
      </c>
      <c r="Q18" s="60" t="str">
        <f>INDEX(T,15,lang)</f>
        <v>GF - GA</v>
      </c>
      <c r="R18" s="61" t="str">
        <f>INDEX(T,16,lang)</f>
        <v>PNT</v>
      </c>
      <c r="T18" s="111">
        <f t="shared" si="51"/>
        <v>43961.513888888891</v>
      </c>
      <c r="V18" s="111">
        <f>COUNTIF(AF18:AF25,CONCATENATE("&gt;=",AF18))</f>
        <v>1</v>
      </c>
      <c r="W18" s="112" t="str">
        <f>INDEX(T,42,lang)</f>
        <v>Russian Federation</v>
      </c>
      <c r="X18" s="111">
        <f t="shared" ref="X18:X25" si="52">Y18+Z18+AA18+AB18</f>
        <v>0</v>
      </c>
      <c r="Y18" s="111">
        <f t="shared" ref="Y18:Y25" si="53">COUNTIF(wdl,$W18 &amp; "_win")</f>
        <v>0</v>
      </c>
      <c r="Z18" s="111">
        <f t="shared" ref="Z18:Z25" si="54">COUNTIF(wdl,$W18 &amp; "_win_ot")</f>
        <v>0</v>
      </c>
      <c r="AA18" s="111">
        <f t="shared" ref="AA18:AA25" si="55">COUNTIF(wdl,$W18 &amp; "_draw")</f>
        <v>0</v>
      </c>
      <c r="AB18" s="111">
        <f t="shared" ref="AB18:AB25" si="56">COUNTIF(wdl,$W18 &amp; "_lose")</f>
        <v>0</v>
      </c>
      <c r="AC18" s="111">
        <f t="shared" ref="AC18:AC25" si="57">SUMIF(team_home,$W18,goal_home) + SUMIF(team_away,$W18,goal_away)</f>
        <v>0</v>
      </c>
      <c r="AD18" s="111">
        <f t="shared" ref="AD18:AD25" si="58">SUMIF(team_home,$W18,goal_away) + SUMIF(team_away,$W18,goal_home)</f>
        <v>0</v>
      </c>
      <c r="AE18" s="111">
        <f t="shared" ref="AE18:AE25" si="59">Y18*3+Z18*2+AA18</f>
        <v>0</v>
      </c>
      <c r="AF18" s="112">
        <f t="shared" ref="AF18:AF25" si="60">10000*AE18/9+1000*AU18+100*BD18+10*(AC18-AD18+60)/120+AC18/60+AG18</f>
        <v>9.9584950495049505</v>
      </c>
      <c r="AG18" s="111">
        <v>8.0000000000000002E-3</v>
      </c>
      <c r="AH18" s="111">
        <f>IF(COUNTIF(AE18:AE25,"=" &amp; AE18)=1,0,AE18)</f>
        <v>0</v>
      </c>
      <c r="AI18" s="111">
        <f>IF(AH18=AH26,1,0)</f>
        <v>0</v>
      </c>
      <c r="AJ18" s="111">
        <f t="shared" ref="AJ18:AJ25" si="61">IF(AI18=0,AH18,0)</f>
        <v>0</v>
      </c>
      <c r="AK18" s="111">
        <f>IF(AJ18=AJ26,1,0)</f>
        <v>0</v>
      </c>
      <c r="AL18" s="111">
        <f t="shared" ref="AL18:AL25" si="62">IF(V18=4,0,1)</f>
        <v>1</v>
      </c>
      <c r="AN18" s="111">
        <f t="shared" ref="AN18:AN25" si="63">COUNTIF(wdl_a,$W18 &amp; "_win")</f>
        <v>0</v>
      </c>
      <c r="AO18" s="111">
        <f t="shared" ref="AO18:AO25" si="64">COUNTIF(wdl_a,$W18 &amp; "_win_ot")</f>
        <v>0</v>
      </c>
      <c r="AP18" s="111">
        <f t="shared" ref="AP18:AP25" si="65">COUNTIF(wdl_a,$W18 &amp; "_draw")</f>
        <v>0</v>
      </c>
      <c r="AQ18" s="111">
        <f t="shared" ref="AQ18:AQ25" si="66">COUNTIF(wdl_a,$W18 &amp; "_lose")</f>
        <v>0</v>
      </c>
      <c r="AR18" s="111">
        <f t="shared" ref="AR18:AR25" si="67">SUMIF(team_home,$W18,goal_home_a) + SUMIF(team_away,$W18,goal_away_a)</f>
        <v>0</v>
      </c>
      <c r="AS18" s="111">
        <f t="shared" ref="AS18:AS25" si="68">SUMIF(team_home,$W18,goal_away_a) + SUMIF(team_away,$W18,goal_home_a)</f>
        <v>0</v>
      </c>
      <c r="AT18" s="111">
        <f t="shared" ref="AT18:AT25" si="69">AN18*3+AO18*2+AP18</f>
        <v>0</v>
      </c>
      <c r="AU18" s="112">
        <f t="shared" ref="AU18:AU25" si="70">(1000*AT18/9+10*(AR18-AS18+60)/120+AR18/60) / 1111</f>
        <v>4.5004500450045006E-3</v>
      </c>
      <c r="AW18" s="111">
        <f t="shared" ref="AW18:AW25" si="71">COUNTIF(wdl_b,$W18 &amp; "_win")</f>
        <v>0</v>
      </c>
      <c r="AX18" s="111">
        <f t="shared" ref="AX18:AX25" si="72">COUNTIF(wdl_b,$W18 &amp; "_win_ot")</f>
        <v>0</v>
      </c>
      <c r="AY18" s="111">
        <f t="shared" ref="AY18:AY25" si="73">COUNTIF(wdl_b,$W18 &amp; "_draw")</f>
        <v>0</v>
      </c>
      <c r="AZ18" s="111">
        <f t="shared" ref="AZ18:AZ25" si="74">COUNTIF(wdl_b,$W18 &amp; "_lose")</f>
        <v>0</v>
      </c>
      <c r="BA18" s="111">
        <f t="shared" ref="BA18:BA25" si="75">SUMIF(team_home,$W18,goal_home_b) + SUMIF(team_away,$W18,goal_away_b)</f>
        <v>0</v>
      </c>
      <c r="BB18" s="111">
        <f t="shared" ref="BB18:BB25" si="76">SUMIF(team_home,$W18,goal_away_b) + SUMIF(team_away,$W18,goal_home_b)</f>
        <v>0</v>
      </c>
      <c r="BC18" s="111">
        <f t="shared" ref="BC18:BC25" si="77">AW18*3+AX18*2+AY18</f>
        <v>0</v>
      </c>
      <c r="BD18" s="112">
        <f t="shared" ref="BD18:BD25" si="78">(1000*BC18/9+10*(BA18-BB18+60)/120+BA18/60) / 1111</f>
        <v>4.5004500450045006E-3</v>
      </c>
      <c r="BF18" s="112" t="str">
        <f>IF(SUM(X18:X25)=56,K19,INDEX(T,54,lang) &amp; " B1")</f>
        <v>Team B1</v>
      </c>
      <c r="BH18" s="112" t="str">
        <f t="shared" si="35"/>
        <v/>
      </c>
      <c r="BI18" s="112" t="str">
        <f t="shared" si="36"/>
        <v/>
      </c>
      <c r="BJ18" s="111" t="str">
        <f t="shared" si="37"/>
        <v/>
      </c>
      <c r="BK18" s="111" t="str">
        <f t="shared" si="38"/>
        <v/>
      </c>
      <c r="BM18" s="112">
        <f t="shared" si="2"/>
        <v>0</v>
      </c>
      <c r="BN18" s="112" t="str">
        <f t="shared" si="39"/>
        <v/>
      </c>
      <c r="BO18" s="112" t="str">
        <f t="shared" si="40"/>
        <v/>
      </c>
      <c r="BP18" s="111" t="str">
        <f t="shared" si="41"/>
        <v/>
      </c>
      <c r="BQ18" s="111" t="str">
        <f t="shared" si="42"/>
        <v/>
      </c>
      <c r="BS18" s="112">
        <f t="shared" si="3"/>
        <v>0</v>
      </c>
      <c r="BT18" s="112" t="str">
        <f t="shared" si="43"/>
        <v/>
      </c>
      <c r="BU18" s="112" t="str">
        <f t="shared" si="44"/>
        <v/>
      </c>
      <c r="BV18" s="111" t="str">
        <f t="shared" si="45"/>
        <v/>
      </c>
      <c r="BW18" s="111" t="str">
        <f t="shared" si="46"/>
        <v/>
      </c>
      <c r="BY18" s="112">
        <f t="shared" si="4"/>
        <v>1</v>
      </c>
      <c r="BZ18" s="112" t="str">
        <f t="shared" si="47"/>
        <v/>
      </c>
      <c r="CA18" s="112" t="str">
        <f t="shared" si="48"/>
        <v/>
      </c>
      <c r="CB18" s="111" t="str">
        <f t="shared" si="49"/>
        <v/>
      </c>
      <c r="CC18" s="111" t="str">
        <f t="shared" si="50"/>
        <v/>
      </c>
    </row>
    <row r="19" spans="1:81" x14ac:dyDescent="0.2">
      <c r="A19" s="53" t="str">
        <f t="shared" si="0"/>
        <v>Sun</v>
      </c>
      <c r="B19" s="54" t="str">
        <f t="shared" si="1"/>
        <v>May 10, 2020</v>
      </c>
      <c r="C19" s="55">
        <f>TIME(3,20,0)+gmt_delta</f>
        <v>0.68055555555555558</v>
      </c>
      <c r="D19" s="86" t="str">
        <f>W8</f>
        <v>Canada</v>
      </c>
      <c r="E19" s="28"/>
      <c r="F19" s="23"/>
      <c r="G19" s="29"/>
      <c r="H19" s="89" t="str">
        <f>W13</f>
        <v>Denmark</v>
      </c>
      <c r="I19" s="58" t="str">
        <f>INDEX(T,18,lang)</f>
        <v>Hallenstadion</v>
      </c>
      <c r="K19" s="62" t="str">
        <f>VLOOKUP(1,V18:AE25,2,FALSE)</f>
        <v>Russian Federation</v>
      </c>
      <c r="L19" s="67">
        <f t="shared" ref="L19:L26" si="79">M19+N19+O19+P19</f>
        <v>0</v>
      </c>
      <c r="M19" s="67">
        <f>VLOOKUP(1,V18:AE25,4,FALSE)</f>
        <v>0</v>
      </c>
      <c r="N19" s="67">
        <f>VLOOKUP(1,V18:AE25,5,FALSE)</f>
        <v>0</v>
      </c>
      <c r="O19" s="67">
        <f>VLOOKUP(1,V18:AE25,6,FALSE)</f>
        <v>0</v>
      </c>
      <c r="P19" s="67">
        <f>VLOOKUP(1,V18:AE25,7,FALSE)</f>
        <v>0</v>
      </c>
      <c r="Q19" s="67" t="str">
        <f>VLOOKUP(1,V18:AE25,8,FALSE) &amp; " - " &amp; VLOOKUP(1,V18:AE25,9,FALSE)</f>
        <v>0 - 0</v>
      </c>
      <c r="R19" s="68">
        <f>M19*3+N19*2+O19</f>
        <v>0</v>
      </c>
      <c r="T19" s="111">
        <f>DATE(2020,5,10)+C19</f>
        <v>43961.680555555555</v>
      </c>
      <c r="V19" s="111">
        <f>COUNTIF(AF18:AF25,CONCATENATE("&gt;=",AF19))</f>
        <v>2</v>
      </c>
      <c r="W19" s="112" t="str">
        <f>INDEX(T,50,lang)</f>
        <v>Finland</v>
      </c>
      <c r="X19" s="111">
        <f t="shared" si="52"/>
        <v>0</v>
      </c>
      <c r="Y19" s="111">
        <f t="shared" si="53"/>
        <v>0</v>
      </c>
      <c r="Z19" s="111">
        <f t="shared" si="54"/>
        <v>0</v>
      </c>
      <c r="AA19" s="111">
        <f t="shared" si="55"/>
        <v>0</v>
      </c>
      <c r="AB19" s="111">
        <f t="shared" si="56"/>
        <v>0</v>
      </c>
      <c r="AC19" s="111">
        <f t="shared" si="57"/>
        <v>0</v>
      </c>
      <c r="AD19" s="111">
        <f t="shared" si="58"/>
        <v>0</v>
      </c>
      <c r="AE19" s="111">
        <f t="shared" si="59"/>
        <v>0</v>
      </c>
      <c r="AF19" s="112">
        <f t="shared" si="60"/>
        <v>9.957495049504951</v>
      </c>
      <c r="AG19" s="111">
        <v>7.0000000000000001E-3</v>
      </c>
      <c r="AH19" s="111">
        <f>IF(COUNTIF(AE18:AE25,"=" &amp; AE19)=1,0,AE19)</f>
        <v>0</v>
      </c>
      <c r="AI19" s="111">
        <f>IF(AH19=AH26,1,0)</f>
        <v>0</v>
      </c>
      <c r="AJ19" s="111">
        <f t="shared" si="61"/>
        <v>0</v>
      </c>
      <c r="AK19" s="111">
        <f>IF(AJ19=AJ26,1,0)</f>
        <v>0</v>
      </c>
      <c r="AL19" s="111">
        <f t="shared" si="62"/>
        <v>1</v>
      </c>
      <c r="AN19" s="111">
        <f t="shared" si="63"/>
        <v>0</v>
      </c>
      <c r="AO19" s="111">
        <f t="shared" si="64"/>
        <v>0</v>
      </c>
      <c r="AP19" s="111">
        <f t="shared" si="65"/>
        <v>0</v>
      </c>
      <c r="AQ19" s="111">
        <f t="shared" si="66"/>
        <v>0</v>
      </c>
      <c r="AR19" s="111">
        <f t="shared" si="67"/>
        <v>0</v>
      </c>
      <c r="AS19" s="111">
        <f t="shared" si="68"/>
        <v>0</v>
      </c>
      <c r="AT19" s="111">
        <f t="shared" si="69"/>
        <v>0</v>
      </c>
      <c r="AU19" s="112">
        <f t="shared" si="70"/>
        <v>4.5004500450045006E-3</v>
      </c>
      <c r="AW19" s="111">
        <f t="shared" si="71"/>
        <v>0</v>
      </c>
      <c r="AX19" s="111">
        <f t="shared" si="72"/>
        <v>0</v>
      </c>
      <c r="AY19" s="111">
        <f t="shared" si="73"/>
        <v>0</v>
      </c>
      <c r="AZ19" s="111">
        <f t="shared" si="74"/>
        <v>0</v>
      </c>
      <c r="BA19" s="111">
        <f t="shared" si="75"/>
        <v>0</v>
      </c>
      <c r="BB19" s="111">
        <f t="shared" si="76"/>
        <v>0</v>
      </c>
      <c r="BC19" s="111">
        <f t="shared" si="77"/>
        <v>0</v>
      </c>
      <c r="BD19" s="112">
        <f t="shared" si="78"/>
        <v>4.5004500450045006E-3</v>
      </c>
      <c r="BF19" s="112" t="str">
        <f>IF(SUM(X18:X25)=56,K20,INDEX(T,54,lang) &amp; " B2")</f>
        <v>Team B2</v>
      </c>
      <c r="BH19" s="112" t="str">
        <f t="shared" si="35"/>
        <v/>
      </c>
      <c r="BI19" s="112" t="str">
        <f t="shared" si="36"/>
        <v/>
      </c>
      <c r="BJ19" s="111" t="str">
        <f t="shared" si="37"/>
        <v/>
      </c>
      <c r="BK19" s="111" t="str">
        <f t="shared" si="38"/>
        <v/>
      </c>
      <c r="BM19" s="112">
        <f t="shared" si="2"/>
        <v>0</v>
      </c>
      <c r="BN19" s="112" t="str">
        <f t="shared" si="39"/>
        <v/>
      </c>
      <c r="BO19" s="112" t="str">
        <f t="shared" si="40"/>
        <v/>
      </c>
      <c r="BP19" s="111" t="str">
        <f t="shared" si="41"/>
        <v/>
      </c>
      <c r="BQ19" s="111" t="str">
        <f t="shared" si="42"/>
        <v/>
      </c>
      <c r="BS19" s="112">
        <f t="shared" si="3"/>
        <v>0</v>
      </c>
      <c r="BT19" s="112" t="str">
        <f t="shared" si="43"/>
        <v/>
      </c>
      <c r="BU19" s="112" t="str">
        <f t="shared" si="44"/>
        <v/>
      </c>
      <c r="BV19" s="111" t="str">
        <f t="shared" si="45"/>
        <v/>
      </c>
      <c r="BW19" s="111" t="str">
        <f t="shared" si="46"/>
        <v/>
      </c>
      <c r="BY19" s="112">
        <f t="shared" si="4"/>
        <v>1</v>
      </c>
      <c r="BZ19" s="112" t="str">
        <f t="shared" si="47"/>
        <v/>
      </c>
      <c r="CA19" s="112" t="str">
        <f t="shared" si="48"/>
        <v/>
      </c>
      <c r="CB19" s="111" t="str">
        <f t="shared" si="49"/>
        <v/>
      </c>
      <c r="CC19" s="111" t="str">
        <f t="shared" si="50"/>
        <v/>
      </c>
    </row>
    <row r="20" spans="1:81" x14ac:dyDescent="0.2">
      <c r="A20" s="53" t="str">
        <f t="shared" si="0"/>
        <v>Sun</v>
      </c>
      <c r="B20" s="54" t="str">
        <f t="shared" si="1"/>
        <v>May 10, 2020</v>
      </c>
      <c r="C20" s="55">
        <f>TIME(3,20,0)+gmt_delta</f>
        <v>0.68055555555555558</v>
      </c>
      <c r="D20" s="86" t="str">
        <f>W25</f>
        <v>Kazakhstan</v>
      </c>
      <c r="E20" s="28"/>
      <c r="F20" s="23"/>
      <c r="G20" s="29"/>
      <c r="H20" s="89" t="str">
        <f>W22</f>
        <v>Latvia</v>
      </c>
      <c r="I20" s="58" t="str">
        <f>INDEX(T,17,lang)</f>
        <v>Lausanne Arena</v>
      </c>
      <c r="K20" s="63" t="str">
        <f>VLOOKUP(2,V18:AE25,2,FALSE)</f>
        <v>Finland</v>
      </c>
      <c r="L20" s="69">
        <f t="shared" si="79"/>
        <v>0</v>
      </c>
      <c r="M20" s="69">
        <f>VLOOKUP(2,V18:AE25,4,FALSE)</f>
        <v>0</v>
      </c>
      <c r="N20" s="69">
        <f>VLOOKUP(2,V18:AE25,5,FALSE)</f>
        <v>0</v>
      </c>
      <c r="O20" s="69">
        <f>VLOOKUP(2,V18:AE25,6,FALSE)</f>
        <v>0</v>
      </c>
      <c r="P20" s="69">
        <f>VLOOKUP(2,V18:AE25,7,FALSE)</f>
        <v>0</v>
      </c>
      <c r="Q20" s="69" t="str">
        <f>VLOOKUP(2,V18:AE25,8,FALSE) &amp; " - " &amp; VLOOKUP(2,V18:AE25,9,FALSE)</f>
        <v>0 - 0</v>
      </c>
      <c r="R20" s="70">
        <f t="shared" ref="R20:R26" si="80">M20*3+N20*2+O20</f>
        <v>0</v>
      </c>
      <c r="T20" s="111">
        <f>DATE(2020,5,10)+C20</f>
        <v>43961.680555555555</v>
      </c>
      <c r="V20" s="111">
        <f>COUNTIF(AF18:AF25,CONCATENATE("&gt;=",AF20))</f>
        <v>3</v>
      </c>
      <c r="W20" s="112" t="str">
        <f>INDEX(T,47,lang)</f>
        <v>United States</v>
      </c>
      <c r="X20" s="111">
        <f t="shared" si="52"/>
        <v>0</v>
      </c>
      <c r="Y20" s="111">
        <f t="shared" si="53"/>
        <v>0</v>
      </c>
      <c r="Z20" s="111">
        <f t="shared" si="54"/>
        <v>0</v>
      </c>
      <c r="AA20" s="111">
        <f t="shared" si="55"/>
        <v>0</v>
      </c>
      <c r="AB20" s="111">
        <f t="shared" si="56"/>
        <v>0</v>
      </c>
      <c r="AC20" s="111">
        <f t="shared" si="57"/>
        <v>0</v>
      </c>
      <c r="AD20" s="111">
        <f t="shared" si="58"/>
        <v>0</v>
      </c>
      <c r="AE20" s="111">
        <f t="shared" si="59"/>
        <v>0</v>
      </c>
      <c r="AF20" s="112">
        <f t="shared" si="60"/>
        <v>9.9564950495049516</v>
      </c>
      <c r="AG20" s="111">
        <v>6.0000000000000001E-3</v>
      </c>
      <c r="AH20" s="111">
        <f>IF(COUNTIF(AE18:AE25,"=" &amp; AE20)=1,0,AE20)</f>
        <v>0</v>
      </c>
      <c r="AI20" s="111">
        <f>IF(AH20=AH26,1,0)</f>
        <v>0</v>
      </c>
      <c r="AJ20" s="111">
        <f t="shared" si="61"/>
        <v>0</v>
      </c>
      <c r="AK20" s="111">
        <f>IF(AJ20=AJ26,1,0)</f>
        <v>0</v>
      </c>
      <c r="AL20" s="111">
        <f t="shared" si="62"/>
        <v>1</v>
      </c>
      <c r="AN20" s="111">
        <f t="shared" si="63"/>
        <v>0</v>
      </c>
      <c r="AO20" s="111">
        <f t="shared" si="64"/>
        <v>0</v>
      </c>
      <c r="AP20" s="111">
        <f t="shared" si="65"/>
        <v>0</v>
      </c>
      <c r="AQ20" s="111">
        <f t="shared" si="66"/>
        <v>0</v>
      </c>
      <c r="AR20" s="111">
        <f t="shared" si="67"/>
        <v>0</v>
      </c>
      <c r="AS20" s="111">
        <f t="shared" si="68"/>
        <v>0</v>
      </c>
      <c r="AT20" s="111">
        <f t="shared" si="69"/>
        <v>0</v>
      </c>
      <c r="AU20" s="112">
        <f t="shared" si="70"/>
        <v>4.5004500450045006E-3</v>
      </c>
      <c r="AW20" s="111">
        <f t="shared" si="71"/>
        <v>0</v>
      </c>
      <c r="AX20" s="111">
        <f t="shared" si="72"/>
        <v>0</v>
      </c>
      <c r="AY20" s="111">
        <f t="shared" si="73"/>
        <v>0</v>
      </c>
      <c r="AZ20" s="111">
        <f t="shared" si="74"/>
        <v>0</v>
      </c>
      <c r="BA20" s="111">
        <f t="shared" si="75"/>
        <v>0</v>
      </c>
      <c r="BB20" s="111">
        <f t="shared" si="76"/>
        <v>0</v>
      </c>
      <c r="BC20" s="111">
        <f t="shared" si="77"/>
        <v>0</v>
      </c>
      <c r="BD20" s="112">
        <f t="shared" si="78"/>
        <v>4.5004500450045006E-3</v>
      </c>
      <c r="BF20" s="112" t="str">
        <f>IF(SUM(X18:X25)=56,K21,INDEX(T,54,lang) &amp; " B3")</f>
        <v>Team B3</v>
      </c>
      <c r="BH20" s="112" t="str">
        <f t="shared" si="35"/>
        <v/>
      </c>
      <c r="BI20" s="112" t="str">
        <f t="shared" si="36"/>
        <v/>
      </c>
      <c r="BJ20" s="111" t="str">
        <f t="shared" si="37"/>
        <v/>
      </c>
      <c r="BK20" s="111" t="str">
        <f t="shared" si="38"/>
        <v/>
      </c>
      <c r="BM20" s="112">
        <f t="shared" si="2"/>
        <v>0</v>
      </c>
      <c r="BN20" s="112" t="str">
        <f t="shared" si="39"/>
        <v/>
      </c>
      <c r="BO20" s="112" t="str">
        <f t="shared" si="40"/>
        <v/>
      </c>
      <c r="BP20" s="111" t="str">
        <f t="shared" si="41"/>
        <v/>
      </c>
      <c r="BQ20" s="111" t="str">
        <f t="shared" si="42"/>
        <v/>
      </c>
      <c r="BS20" s="112">
        <f t="shared" si="3"/>
        <v>0</v>
      </c>
      <c r="BT20" s="112" t="str">
        <f t="shared" si="43"/>
        <v/>
      </c>
      <c r="BU20" s="112" t="str">
        <f t="shared" si="44"/>
        <v/>
      </c>
      <c r="BV20" s="111" t="str">
        <f t="shared" si="45"/>
        <v/>
      </c>
      <c r="BW20" s="111" t="str">
        <f t="shared" si="46"/>
        <v/>
      </c>
      <c r="BY20" s="112">
        <f t="shared" si="4"/>
        <v>1</v>
      </c>
      <c r="BZ20" s="112" t="str">
        <f t="shared" si="47"/>
        <v/>
      </c>
      <c r="CA20" s="112" t="str">
        <f t="shared" si="48"/>
        <v/>
      </c>
      <c r="CB20" s="111" t="str">
        <f t="shared" si="49"/>
        <v/>
      </c>
      <c r="CC20" s="111" t="str">
        <f t="shared" si="50"/>
        <v/>
      </c>
    </row>
    <row r="21" spans="1:81" x14ac:dyDescent="0.2">
      <c r="A21" s="53" t="str">
        <f t="shared" si="0"/>
        <v>Sun</v>
      </c>
      <c r="B21" s="54" t="str">
        <f t="shared" si="1"/>
        <v>May 10, 2020</v>
      </c>
      <c r="C21" s="55">
        <f>TIME(7,20,0)+gmt_delta</f>
        <v>0.8472222222222221</v>
      </c>
      <c r="D21" s="86" t="str">
        <f>W9</f>
        <v>Sweden</v>
      </c>
      <c r="E21" s="28"/>
      <c r="F21" s="23"/>
      <c r="G21" s="29"/>
      <c r="H21" s="89" t="str">
        <f>W14</f>
        <v>Belarus</v>
      </c>
      <c r="I21" s="58" t="str">
        <f>INDEX(T,18,lang)</f>
        <v>Hallenstadion</v>
      </c>
      <c r="K21" s="63" t="str">
        <f>VLOOKUP(3,V18:AE25,2,FALSE)</f>
        <v>United States</v>
      </c>
      <c r="L21" s="69">
        <f t="shared" si="79"/>
        <v>0</v>
      </c>
      <c r="M21" s="69">
        <f>VLOOKUP(3,V18:AE25,4,FALSE)</f>
        <v>0</v>
      </c>
      <c r="N21" s="69">
        <f>VLOOKUP(3,V18:AE25,5,FALSE)</f>
        <v>0</v>
      </c>
      <c r="O21" s="69">
        <f>VLOOKUP(3,V18:AE25,6,FALSE)</f>
        <v>0</v>
      </c>
      <c r="P21" s="69">
        <f>VLOOKUP(3,V18:AE25,7,FALSE)</f>
        <v>0</v>
      </c>
      <c r="Q21" s="69" t="str">
        <f>VLOOKUP(3,V18:AE25,8,FALSE) &amp; " - " &amp; VLOOKUP(3,V18:AE25,9,FALSE)</f>
        <v>0 - 0</v>
      </c>
      <c r="R21" s="70">
        <f t="shared" si="80"/>
        <v>0</v>
      </c>
      <c r="T21" s="111">
        <f>DATE(2020,5,10)+C21</f>
        <v>43961.847222222219</v>
      </c>
      <c r="V21" s="111">
        <f>COUNTIF(AF18:AF25,CONCATENATE("&gt;=",AF21))</f>
        <v>4</v>
      </c>
      <c r="W21" s="112" t="str">
        <f>INDEX(T,43,lang)</f>
        <v>Switzerland</v>
      </c>
      <c r="X21" s="111">
        <f t="shared" si="52"/>
        <v>0</v>
      </c>
      <c r="Y21" s="111">
        <f t="shared" si="53"/>
        <v>0</v>
      </c>
      <c r="Z21" s="111">
        <f t="shared" si="54"/>
        <v>0</v>
      </c>
      <c r="AA21" s="111">
        <f t="shared" si="55"/>
        <v>0</v>
      </c>
      <c r="AB21" s="111">
        <f t="shared" si="56"/>
        <v>0</v>
      </c>
      <c r="AC21" s="111">
        <f t="shared" si="57"/>
        <v>0</v>
      </c>
      <c r="AD21" s="111">
        <f t="shared" si="58"/>
        <v>0</v>
      </c>
      <c r="AE21" s="111">
        <f t="shared" si="59"/>
        <v>0</v>
      </c>
      <c r="AF21" s="112">
        <f t="shared" si="60"/>
        <v>9.9554950495049521</v>
      </c>
      <c r="AG21" s="111">
        <v>5.0000000000000001E-3</v>
      </c>
      <c r="AH21" s="111">
        <f>IF(COUNTIF(AE18:AE25,"=" &amp; AE21)=1,0,AE21)</f>
        <v>0</v>
      </c>
      <c r="AI21" s="111">
        <f>IF(AH21=AH26,1,0)</f>
        <v>0</v>
      </c>
      <c r="AJ21" s="111">
        <f t="shared" si="61"/>
        <v>0</v>
      </c>
      <c r="AK21" s="111">
        <f>IF(AJ21=AJ26,1,0)</f>
        <v>0</v>
      </c>
      <c r="AL21" s="111">
        <f t="shared" si="62"/>
        <v>0</v>
      </c>
      <c r="AN21" s="111">
        <f t="shared" si="63"/>
        <v>0</v>
      </c>
      <c r="AO21" s="111">
        <f t="shared" si="64"/>
        <v>0</v>
      </c>
      <c r="AP21" s="111">
        <f t="shared" si="65"/>
        <v>0</v>
      </c>
      <c r="AQ21" s="111">
        <f t="shared" si="66"/>
        <v>0</v>
      </c>
      <c r="AR21" s="111">
        <f t="shared" si="67"/>
        <v>0</v>
      </c>
      <c r="AS21" s="111">
        <f t="shared" si="68"/>
        <v>0</v>
      </c>
      <c r="AT21" s="111">
        <f t="shared" si="69"/>
        <v>0</v>
      </c>
      <c r="AU21" s="112">
        <f t="shared" si="70"/>
        <v>4.5004500450045006E-3</v>
      </c>
      <c r="AW21" s="111">
        <f t="shared" si="71"/>
        <v>0</v>
      </c>
      <c r="AX21" s="111">
        <f t="shared" si="72"/>
        <v>0</v>
      </c>
      <c r="AY21" s="111">
        <f t="shared" si="73"/>
        <v>0</v>
      </c>
      <c r="AZ21" s="111">
        <f t="shared" si="74"/>
        <v>0</v>
      </c>
      <c r="BA21" s="111">
        <f t="shared" si="75"/>
        <v>0</v>
      </c>
      <c r="BB21" s="111">
        <f t="shared" si="76"/>
        <v>0</v>
      </c>
      <c r="BC21" s="111">
        <f t="shared" si="77"/>
        <v>0</v>
      </c>
      <c r="BD21" s="112">
        <f t="shared" si="78"/>
        <v>4.5004500450045006E-3</v>
      </c>
      <c r="BF21" s="112" t="str">
        <f>IF(SUM(X18:X25)=56,K22,INDEX(T,54,lang) &amp; " B4")</f>
        <v>Team B4</v>
      </c>
      <c r="BH21" s="112" t="str">
        <f t="shared" si="35"/>
        <v/>
      </c>
      <c r="BI21" s="112" t="str">
        <f t="shared" si="36"/>
        <v/>
      </c>
      <c r="BJ21" s="111" t="str">
        <f t="shared" si="37"/>
        <v/>
      </c>
      <c r="BK21" s="111" t="str">
        <f t="shared" si="38"/>
        <v/>
      </c>
      <c r="BM21" s="112">
        <f t="shared" si="2"/>
        <v>0</v>
      </c>
      <c r="BN21" s="112" t="str">
        <f t="shared" si="39"/>
        <v/>
      </c>
      <c r="BO21" s="112" t="str">
        <f t="shared" si="40"/>
        <v/>
      </c>
      <c r="BP21" s="111" t="str">
        <f t="shared" si="41"/>
        <v/>
      </c>
      <c r="BQ21" s="111" t="str">
        <f t="shared" si="42"/>
        <v/>
      </c>
      <c r="BS21" s="112">
        <f t="shared" si="3"/>
        <v>0</v>
      </c>
      <c r="BT21" s="112" t="str">
        <f t="shared" si="43"/>
        <v/>
      </c>
      <c r="BU21" s="112" t="str">
        <f t="shared" si="44"/>
        <v/>
      </c>
      <c r="BV21" s="111" t="str">
        <f t="shared" si="45"/>
        <v/>
      </c>
      <c r="BW21" s="111" t="str">
        <f t="shared" si="46"/>
        <v/>
      </c>
      <c r="BY21" s="112">
        <f t="shared" si="4"/>
        <v>1</v>
      </c>
      <c r="BZ21" s="112" t="str">
        <f t="shared" si="47"/>
        <v/>
      </c>
      <c r="CA21" s="112" t="str">
        <f t="shared" si="48"/>
        <v/>
      </c>
      <c r="CB21" s="111" t="str">
        <f t="shared" si="49"/>
        <v/>
      </c>
      <c r="CC21" s="111" t="str">
        <f t="shared" si="50"/>
        <v/>
      </c>
    </row>
    <row r="22" spans="1:81" x14ac:dyDescent="0.2">
      <c r="A22" s="53" t="str">
        <f t="shared" si="0"/>
        <v>Sun</v>
      </c>
      <c r="B22" s="54" t="str">
        <f t="shared" si="1"/>
        <v>May 10, 2020</v>
      </c>
      <c r="C22" s="55">
        <f>TIME(7,20,0)+gmt_delta</f>
        <v>0.8472222222222221</v>
      </c>
      <c r="D22" s="104" t="str">
        <f>W19</f>
        <v>Finland</v>
      </c>
      <c r="E22" s="105"/>
      <c r="F22" s="106"/>
      <c r="G22" s="107"/>
      <c r="H22" s="108" t="str">
        <f>W24</f>
        <v>Italy</v>
      </c>
      <c r="I22" s="58" t="str">
        <f>INDEX(T,17,lang)</f>
        <v>Lausanne Arena</v>
      </c>
      <c r="K22" s="63" t="str">
        <f>VLOOKUP(4,V18:AE25,2,FALSE)</f>
        <v>Switzerland</v>
      </c>
      <c r="L22" s="69">
        <f t="shared" si="79"/>
        <v>0</v>
      </c>
      <c r="M22" s="69">
        <f>VLOOKUP(4,V18:AE25,4,FALSE)</f>
        <v>0</v>
      </c>
      <c r="N22" s="69">
        <f>VLOOKUP(4,V18:AE25,5,FALSE)</f>
        <v>0</v>
      </c>
      <c r="O22" s="69">
        <f>VLOOKUP(4,V18:AE25,6,FALSE)</f>
        <v>0</v>
      </c>
      <c r="P22" s="69">
        <f>VLOOKUP(4,V18:AE25,7,FALSE)</f>
        <v>0</v>
      </c>
      <c r="Q22" s="69" t="str">
        <f>VLOOKUP(4,V18:AE25,8,FALSE) &amp; " - " &amp; VLOOKUP(4,V18:AE25,9,FALSE)</f>
        <v>0 - 0</v>
      </c>
      <c r="R22" s="70">
        <f t="shared" si="80"/>
        <v>0</v>
      </c>
      <c r="T22" s="111">
        <f>DATE(2020,5,10)+C22</f>
        <v>43961.847222222219</v>
      </c>
      <c r="V22" s="111">
        <f>COUNTIF(AF18:AF25,CONCATENATE("&gt;=",AF22))</f>
        <v>5</v>
      </c>
      <c r="W22" s="112" t="str">
        <f>INDEX(T,48,lang)</f>
        <v>Latvia</v>
      </c>
      <c r="X22" s="111">
        <f t="shared" si="52"/>
        <v>0</v>
      </c>
      <c r="Y22" s="111">
        <f t="shared" si="53"/>
        <v>0</v>
      </c>
      <c r="Z22" s="111">
        <f t="shared" si="54"/>
        <v>0</v>
      </c>
      <c r="AA22" s="111">
        <f t="shared" si="55"/>
        <v>0</v>
      </c>
      <c r="AB22" s="111">
        <f t="shared" si="56"/>
        <v>0</v>
      </c>
      <c r="AC22" s="111">
        <f t="shared" si="57"/>
        <v>0</v>
      </c>
      <c r="AD22" s="111">
        <f t="shared" si="58"/>
        <v>0</v>
      </c>
      <c r="AE22" s="111">
        <f t="shared" si="59"/>
        <v>0</v>
      </c>
      <c r="AF22" s="112">
        <f t="shared" si="60"/>
        <v>9.9544950495049509</v>
      </c>
      <c r="AG22" s="111">
        <v>4.0000000000000001E-3</v>
      </c>
      <c r="AH22" s="111">
        <f>IF(COUNTIF(AE18:AE25,"=" &amp; AE22)=1,0,AE22)</f>
        <v>0</v>
      </c>
      <c r="AI22" s="111">
        <f>IF(AH22=AH26,1,0)</f>
        <v>0</v>
      </c>
      <c r="AJ22" s="111">
        <f t="shared" si="61"/>
        <v>0</v>
      </c>
      <c r="AK22" s="111">
        <f>IF(AJ22=AJ26,1,0)</f>
        <v>0</v>
      </c>
      <c r="AL22" s="111">
        <f t="shared" si="62"/>
        <v>1</v>
      </c>
      <c r="AN22" s="111">
        <f t="shared" si="63"/>
        <v>0</v>
      </c>
      <c r="AO22" s="111">
        <f t="shared" si="64"/>
        <v>0</v>
      </c>
      <c r="AP22" s="111">
        <f t="shared" si="65"/>
        <v>0</v>
      </c>
      <c r="AQ22" s="111">
        <f t="shared" si="66"/>
        <v>0</v>
      </c>
      <c r="AR22" s="111">
        <f t="shared" si="67"/>
        <v>0</v>
      </c>
      <c r="AS22" s="111">
        <f t="shared" si="68"/>
        <v>0</v>
      </c>
      <c r="AT22" s="111">
        <f t="shared" si="69"/>
        <v>0</v>
      </c>
      <c r="AU22" s="112">
        <f t="shared" si="70"/>
        <v>4.5004500450045006E-3</v>
      </c>
      <c r="AW22" s="111">
        <f t="shared" si="71"/>
        <v>0</v>
      </c>
      <c r="AX22" s="111">
        <f t="shared" si="72"/>
        <v>0</v>
      </c>
      <c r="AY22" s="111">
        <f t="shared" si="73"/>
        <v>0</v>
      </c>
      <c r="AZ22" s="111">
        <f t="shared" si="74"/>
        <v>0</v>
      </c>
      <c r="BA22" s="111">
        <f t="shared" si="75"/>
        <v>0</v>
      </c>
      <c r="BB22" s="111">
        <f t="shared" si="76"/>
        <v>0</v>
      </c>
      <c r="BC22" s="111">
        <f t="shared" si="77"/>
        <v>0</v>
      </c>
      <c r="BD22" s="112">
        <f t="shared" si="78"/>
        <v>4.5004500450045006E-3</v>
      </c>
      <c r="BH22" s="112" t="str">
        <f t="shared" si="35"/>
        <v/>
      </c>
      <c r="BI22" s="112" t="str">
        <f t="shared" si="36"/>
        <v/>
      </c>
      <c r="BJ22" s="111" t="str">
        <f t="shared" si="37"/>
        <v/>
      </c>
      <c r="BK22" s="111" t="str">
        <f t="shared" si="38"/>
        <v/>
      </c>
      <c r="BM22" s="112">
        <f t="shared" si="2"/>
        <v>0</v>
      </c>
      <c r="BN22" s="112" t="str">
        <f t="shared" si="39"/>
        <v/>
      </c>
      <c r="BO22" s="112" t="str">
        <f t="shared" si="40"/>
        <v/>
      </c>
      <c r="BP22" s="111" t="str">
        <f t="shared" si="41"/>
        <v/>
      </c>
      <c r="BQ22" s="111" t="str">
        <f t="shared" si="42"/>
        <v/>
      </c>
      <c r="BS22" s="112">
        <f t="shared" si="3"/>
        <v>0</v>
      </c>
      <c r="BT22" s="112" t="str">
        <f t="shared" si="43"/>
        <v/>
      </c>
      <c r="BU22" s="112" t="str">
        <f t="shared" si="44"/>
        <v/>
      </c>
      <c r="BV22" s="111" t="str">
        <f t="shared" si="45"/>
        <v/>
      </c>
      <c r="BW22" s="111" t="str">
        <f t="shared" si="46"/>
        <v/>
      </c>
      <c r="BY22" s="112">
        <f t="shared" si="4"/>
        <v>1</v>
      </c>
      <c r="BZ22" s="112" t="str">
        <f t="shared" si="47"/>
        <v/>
      </c>
      <c r="CA22" s="112" t="str">
        <f t="shared" si="48"/>
        <v/>
      </c>
      <c r="CB22" s="111" t="str">
        <f t="shared" si="49"/>
        <v/>
      </c>
      <c r="CC22" s="111" t="str">
        <f t="shared" si="50"/>
        <v/>
      </c>
    </row>
    <row r="23" spans="1:81" x14ac:dyDescent="0.2">
      <c r="A23" s="53" t="str">
        <f t="shared" si="0"/>
        <v>Mon</v>
      </c>
      <c r="B23" s="54" t="str">
        <f t="shared" si="1"/>
        <v>May 11, 2020</v>
      </c>
      <c r="C23" s="55">
        <f>TIME(3,20,0)+gmt_delta</f>
        <v>0.68055555555555558</v>
      </c>
      <c r="D23" s="86" t="str">
        <f>W10</f>
        <v>Czech Republic</v>
      </c>
      <c r="E23" s="28"/>
      <c r="F23" s="23"/>
      <c r="G23" s="29"/>
      <c r="H23" s="89" t="str">
        <f>W8</f>
        <v>Canada</v>
      </c>
      <c r="I23" s="58" t="str">
        <f>INDEX(T,17,lang)</f>
        <v>Lausanne Arena</v>
      </c>
      <c r="K23" s="63" t="str">
        <f>VLOOKUP(5,V18:AE25,2,FALSE)</f>
        <v>Latvia</v>
      </c>
      <c r="L23" s="69">
        <f t="shared" si="79"/>
        <v>0</v>
      </c>
      <c r="M23" s="69">
        <f>VLOOKUP(5,V18:AE25,4,FALSE)</f>
        <v>0</v>
      </c>
      <c r="N23" s="69">
        <f>VLOOKUP(5,V18:AE25,5,FALSE)</f>
        <v>0</v>
      </c>
      <c r="O23" s="69">
        <f>VLOOKUP(5,V18:AE25,6,FALSE)</f>
        <v>0</v>
      </c>
      <c r="P23" s="69">
        <f>VLOOKUP(5,V18:AE25,7,FALSE)</f>
        <v>0</v>
      </c>
      <c r="Q23" s="69" t="str">
        <f>VLOOKUP(5,V18:AE25,8,FALSE) &amp; " - " &amp; VLOOKUP(5,V18:AE25,9,FALSE)</f>
        <v>0 - 0</v>
      </c>
      <c r="R23" s="70">
        <f>M23*3+N23*2+O23</f>
        <v>0</v>
      </c>
      <c r="T23" s="111">
        <f>DATE(2020,5,11)+C23</f>
        <v>43962.680555555555</v>
      </c>
      <c r="V23" s="111">
        <f>COUNTIF(AF18:AF25,CONCATENATE("&gt;=",AF23))</f>
        <v>6</v>
      </c>
      <c r="W23" s="112" t="str">
        <f>INDEX(T,52,lang)</f>
        <v>Norway</v>
      </c>
      <c r="X23" s="111">
        <f t="shared" si="52"/>
        <v>0</v>
      </c>
      <c r="Y23" s="111">
        <f t="shared" si="53"/>
        <v>0</v>
      </c>
      <c r="Z23" s="111">
        <f t="shared" si="54"/>
        <v>0</v>
      </c>
      <c r="AA23" s="111">
        <f t="shared" si="55"/>
        <v>0</v>
      </c>
      <c r="AB23" s="111">
        <f t="shared" si="56"/>
        <v>0</v>
      </c>
      <c r="AC23" s="111">
        <f t="shared" si="57"/>
        <v>0</v>
      </c>
      <c r="AD23" s="111">
        <f t="shared" si="58"/>
        <v>0</v>
      </c>
      <c r="AE23" s="111">
        <f t="shared" si="59"/>
        <v>0</v>
      </c>
      <c r="AF23" s="112">
        <f t="shared" si="60"/>
        <v>9.9534950495049515</v>
      </c>
      <c r="AG23" s="111">
        <v>3.0000000000000001E-3</v>
      </c>
      <c r="AH23" s="111">
        <f>IF(COUNTIF(AE18:AE25,"=" &amp; AE23)=1,0,AE23)</f>
        <v>0</v>
      </c>
      <c r="AI23" s="111">
        <f>IF(AH23=AH26,1,0)</f>
        <v>0</v>
      </c>
      <c r="AJ23" s="111">
        <f t="shared" si="61"/>
        <v>0</v>
      </c>
      <c r="AK23" s="111">
        <f>IF(AJ23=AJ26,1,0)</f>
        <v>0</v>
      </c>
      <c r="AL23" s="111">
        <f t="shared" si="62"/>
        <v>1</v>
      </c>
      <c r="AN23" s="111">
        <f t="shared" si="63"/>
        <v>0</v>
      </c>
      <c r="AO23" s="111">
        <f t="shared" si="64"/>
        <v>0</v>
      </c>
      <c r="AP23" s="111">
        <f t="shared" si="65"/>
        <v>0</v>
      </c>
      <c r="AQ23" s="111">
        <f t="shared" si="66"/>
        <v>0</v>
      </c>
      <c r="AR23" s="111">
        <f t="shared" si="67"/>
        <v>0</v>
      </c>
      <c r="AS23" s="111">
        <f t="shared" si="68"/>
        <v>0</v>
      </c>
      <c r="AT23" s="111">
        <f t="shared" si="69"/>
        <v>0</v>
      </c>
      <c r="AU23" s="112">
        <f t="shared" si="70"/>
        <v>4.5004500450045006E-3</v>
      </c>
      <c r="AW23" s="111">
        <f t="shared" si="71"/>
        <v>0</v>
      </c>
      <c r="AX23" s="111">
        <f t="shared" si="72"/>
        <v>0</v>
      </c>
      <c r="AY23" s="111">
        <f t="shared" si="73"/>
        <v>0</v>
      </c>
      <c r="AZ23" s="111">
        <f t="shared" si="74"/>
        <v>0</v>
      </c>
      <c r="BA23" s="111">
        <f t="shared" si="75"/>
        <v>0</v>
      </c>
      <c r="BB23" s="111">
        <f t="shared" si="76"/>
        <v>0</v>
      </c>
      <c r="BC23" s="111">
        <f t="shared" si="77"/>
        <v>0</v>
      </c>
      <c r="BD23" s="112">
        <f t="shared" si="78"/>
        <v>4.5004500450045006E-3</v>
      </c>
      <c r="BH23" s="112" t="str">
        <f t="shared" si="35"/>
        <v/>
      </c>
      <c r="BI23" s="112" t="str">
        <f t="shared" si="36"/>
        <v/>
      </c>
      <c r="BJ23" s="111" t="str">
        <f t="shared" si="37"/>
        <v/>
      </c>
      <c r="BK23" s="111" t="str">
        <f t="shared" si="38"/>
        <v/>
      </c>
      <c r="BM23" s="112">
        <f t="shared" si="2"/>
        <v>0</v>
      </c>
      <c r="BN23" s="112" t="str">
        <f t="shared" si="39"/>
        <v/>
      </c>
      <c r="BO23" s="112" t="str">
        <f t="shared" si="40"/>
        <v/>
      </c>
      <c r="BP23" s="111" t="str">
        <f t="shared" si="41"/>
        <v/>
      </c>
      <c r="BQ23" s="111" t="str">
        <f t="shared" si="42"/>
        <v/>
      </c>
      <c r="BS23" s="112">
        <f t="shared" si="3"/>
        <v>0</v>
      </c>
      <c r="BT23" s="112" t="str">
        <f t="shared" si="43"/>
        <v/>
      </c>
      <c r="BU23" s="112" t="str">
        <f t="shared" si="44"/>
        <v/>
      </c>
      <c r="BV23" s="111" t="str">
        <f t="shared" si="45"/>
        <v/>
      </c>
      <c r="BW23" s="111" t="str">
        <f t="shared" si="46"/>
        <v/>
      </c>
      <c r="BY23" s="112">
        <f t="shared" si="4"/>
        <v>1</v>
      </c>
      <c r="BZ23" s="112" t="str">
        <f t="shared" si="47"/>
        <v/>
      </c>
      <c r="CA23" s="112" t="str">
        <f t="shared" si="48"/>
        <v/>
      </c>
      <c r="CB23" s="111" t="str">
        <f t="shared" si="49"/>
        <v/>
      </c>
      <c r="CC23" s="111" t="str">
        <f t="shared" si="50"/>
        <v/>
      </c>
    </row>
    <row r="24" spans="1:81" x14ac:dyDescent="0.2">
      <c r="A24" s="53" t="str">
        <f t="shared" si="0"/>
        <v>Mon</v>
      </c>
      <c r="B24" s="54" t="str">
        <f t="shared" si="1"/>
        <v>May 11, 2020</v>
      </c>
      <c r="C24" s="55">
        <f>TIME(3,20,0)+gmt_delta</f>
        <v>0.68055555555555558</v>
      </c>
      <c r="D24" s="86" t="str">
        <f>W20</f>
        <v>United States</v>
      </c>
      <c r="E24" s="28"/>
      <c r="F24" s="23"/>
      <c r="G24" s="29"/>
      <c r="H24" s="89" t="str">
        <f>W18</f>
        <v>Russian Federation</v>
      </c>
      <c r="I24" s="58" t="str">
        <f>INDEX(T,18,lang)</f>
        <v>Hallenstadion</v>
      </c>
      <c r="K24" s="63" t="str">
        <f>VLOOKUP(6,V18:AE25,2,FALSE)</f>
        <v>Norway</v>
      </c>
      <c r="L24" s="69">
        <f t="shared" si="79"/>
        <v>0</v>
      </c>
      <c r="M24" s="69">
        <f>VLOOKUP(6,V18:AE25,4,FALSE)</f>
        <v>0</v>
      </c>
      <c r="N24" s="69">
        <f>VLOOKUP(6,V18:AE25,5,FALSE)</f>
        <v>0</v>
      </c>
      <c r="O24" s="69">
        <f>VLOOKUP(6,V18:AE25,6,FALSE)</f>
        <v>0</v>
      </c>
      <c r="P24" s="69">
        <f>VLOOKUP(6,V18:AE25,7,FALSE)</f>
        <v>0</v>
      </c>
      <c r="Q24" s="69" t="str">
        <f>VLOOKUP(6,V18:AE25,8,FALSE) &amp; " - " &amp; VLOOKUP(6,V18:AE25,9,FALSE)</f>
        <v>0 - 0</v>
      </c>
      <c r="R24" s="70">
        <f t="shared" si="80"/>
        <v>0</v>
      </c>
      <c r="T24" s="111">
        <f>DATE(2020,5,11)+C24</f>
        <v>43962.680555555555</v>
      </c>
      <c r="V24" s="111">
        <f>COUNTIF(AF18:AF25,CONCATENATE("&gt;=",AF24))</f>
        <v>7</v>
      </c>
      <c r="W24" s="112" t="str">
        <f>INDEX(T,49,lang)</f>
        <v>Italy</v>
      </c>
      <c r="X24" s="111">
        <f t="shared" si="52"/>
        <v>0</v>
      </c>
      <c r="Y24" s="111">
        <f t="shared" si="53"/>
        <v>0</v>
      </c>
      <c r="Z24" s="111">
        <f t="shared" si="54"/>
        <v>0</v>
      </c>
      <c r="AA24" s="111">
        <f t="shared" si="55"/>
        <v>0</v>
      </c>
      <c r="AB24" s="111">
        <f t="shared" si="56"/>
        <v>0</v>
      </c>
      <c r="AC24" s="111">
        <f t="shared" si="57"/>
        <v>0</v>
      </c>
      <c r="AD24" s="111">
        <f t="shared" si="58"/>
        <v>0</v>
      </c>
      <c r="AE24" s="111">
        <f t="shared" si="59"/>
        <v>0</v>
      </c>
      <c r="AF24" s="112">
        <f t="shared" si="60"/>
        <v>9.952495049504952</v>
      </c>
      <c r="AG24" s="111">
        <v>2E-3</v>
      </c>
      <c r="AH24" s="111">
        <f>IF(COUNTIF(AE18:AE25,"=" &amp; AE24)=1,0,AE24)</f>
        <v>0</v>
      </c>
      <c r="AI24" s="111">
        <f>IF(AH24=AH26,1,0)</f>
        <v>0</v>
      </c>
      <c r="AJ24" s="111">
        <f t="shared" si="61"/>
        <v>0</v>
      </c>
      <c r="AK24" s="111">
        <f>IF(AJ24=AJ26,1,0)</f>
        <v>0</v>
      </c>
      <c r="AL24" s="111">
        <f t="shared" si="62"/>
        <v>1</v>
      </c>
      <c r="AN24" s="111">
        <f t="shared" si="63"/>
        <v>0</v>
      </c>
      <c r="AO24" s="111">
        <f t="shared" si="64"/>
        <v>0</v>
      </c>
      <c r="AP24" s="111">
        <f t="shared" si="65"/>
        <v>0</v>
      </c>
      <c r="AQ24" s="111">
        <f t="shared" si="66"/>
        <v>0</v>
      </c>
      <c r="AR24" s="111">
        <f t="shared" si="67"/>
        <v>0</v>
      </c>
      <c r="AS24" s="111">
        <f t="shared" si="68"/>
        <v>0</v>
      </c>
      <c r="AT24" s="111">
        <f t="shared" si="69"/>
        <v>0</v>
      </c>
      <c r="AU24" s="112">
        <f t="shared" si="70"/>
        <v>4.5004500450045006E-3</v>
      </c>
      <c r="AW24" s="111">
        <f t="shared" si="71"/>
        <v>0</v>
      </c>
      <c r="AX24" s="111">
        <f t="shared" si="72"/>
        <v>0</v>
      </c>
      <c r="AY24" s="111">
        <f t="shared" si="73"/>
        <v>0</v>
      </c>
      <c r="AZ24" s="111">
        <f t="shared" si="74"/>
        <v>0</v>
      </c>
      <c r="BA24" s="111">
        <f t="shared" si="75"/>
        <v>0</v>
      </c>
      <c r="BB24" s="111">
        <f t="shared" si="76"/>
        <v>0</v>
      </c>
      <c r="BC24" s="111">
        <f t="shared" si="77"/>
        <v>0</v>
      </c>
      <c r="BD24" s="112">
        <f t="shared" si="78"/>
        <v>4.5004500450045006E-3</v>
      </c>
      <c r="BH24" s="112" t="str">
        <f t="shared" si="35"/>
        <v/>
      </c>
      <c r="BI24" s="112" t="str">
        <f t="shared" si="36"/>
        <v/>
      </c>
      <c r="BJ24" s="111" t="str">
        <f t="shared" si="37"/>
        <v/>
      </c>
      <c r="BK24" s="111" t="str">
        <f t="shared" si="38"/>
        <v/>
      </c>
      <c r="BM24" s="112">
        <f t="shared" si="2"/>
        <v>0</v>
      </c>
      <c r="BN24" s="112" t="str">
        <f t="shared" si="39"/>
        <v/>
      </c>
      <c r="BO24" s="112" t="str">
        <f t="shared" si="40"/>
        <v/>
      </c>
      <c r="BP24" s="111" t="str">
        <f t="shared" si="41"/>
        <v/>
      </c>
      <c r="BQ24" s="111" t="str">
        <f t="shared" si="42"/>
        <v/>
      </c>
      <c r="BS24" s="112">
        <f t="shared" si="3"/>
        <v>0</v>
      </c>
      <c r="BT24" s="112" t="str">
        <f t="shared" si="43"/>
        <v/>
      </c>
      <c r="BU24" s="112" t="str">
        <f t="shared" si="44"/>
        <v/>
      </c>
      <c r="BV24" s="111" t="str">
        <f t="shared" si="45"/>
        <v/>
      </c>
      <c r="BW24" s="111" t="str">
        <f t="shared" si="46"/>
        <v/>
      </c>
      <c r="BY24" s="112">
        <f t="shared" si="4"/>
        <v>1</v>
      </c>
      <c r="BZ24" s="112" t="str">
        <f t="shared" si="47"/>
        <v/>
      </c>
      <c r="CA24" s="112" t="str">
        <f t="shared" si="48"/>
        <v/>
      </c>
      <c r="CB24" s="111" t="str">
        <f t="shared" si="49"/>
        <v/>
      </c>
      <c r="CC24" s="111" t="str">
        <f t="shared" si="50"/>
        <v/>
      </c>
    </row>
    <row r="25" spans="1:81" x14ac:dyDescent="0.2">
      <c r="A25" s="53" t="str">
        <f t="shared" si="0"/>
        <v>Mon</v>
      </c>
      <c r="B25" s="54" t="str">
        <f t="shared" si="1"/>
        <v>May 11, 2020</v>
      </c>
      <c r="C25" s="55">
        <f>TIME(7,20,0)+gmt_delta</f>
        <v>0.8472222222222221</v>
      </c>
      <c r="D25" s="86" t="str">
        <f>W11</f>
        <v>Germany</v>
      </c>
      <c r="E25" s="28"/>
      <c r="F25" s="23"/>
      <c r="G25" s="29"/>
      <c r="H25" s="89" t="str">
        <f>W9</f>
        <v>Sweden</v>
      </c>
      <c r="I25" s="58" t="str">
        <f>INDEX(T,17,lang)</f>
        <v>Lausanne Arena</v>
      </c>
      <c r="K25" s="63" t="str">
        <f>VLOOKUP(7,V18:AE25,2,FALSE)</f>
        <v>Italy</v>
      </c>
      <c r="L25" s="69">
        <f t="shared" si="79"/>
        <v>0</v>
      </c>
      <c r="M25" s="69">
        <f>VLOOKUP(7,V18:AE25,4,FALSE)</f>
        <v>0</v>
      </c>
      <c r="N25" s="69">
        <f>VLOOKUP(7,V18:AE25,5,FALSE)</f>
        <v>0</v>
      </c>
      <c r="O25" s="69">
        <f>VLOOKUP(7,V18:AE25,6,FALSE)</f>
        <v>0</v>
      </c>
      <c r="P25" s="69">
        <f>VLOOKUP(7,V18:AE25,7,FALSE)</f>
        <v>0</v>
      </c>
      <c r="Q25" s="69" t="str">
        <f>VLOOKUP(7,V18:AE25,8,FALSE) &amp; " - " &amp; VLOOKUP(7,V18:AE25,9,FALSE)</f>
        <v>0 - 0</v>
      </c>
      <c r="R25" s="70">
        <f t="shared" si="80"/>
        <v>0</v>
      </c>
      <c r="T25" s="111">
        <f>DATE(2020,5,11)+C25</f>
        <v>43962.847222222219</v>
      </c>
      <c r="V25" s="111">
        <f>COUNTIF(AF18:AF25,CONCATENATE("&gt;=",AF25))</f>
        <v>8</v>
      </c>
      <c r="W25" s="112" t="str">
        <f>INDEX(T,39,lang)</f>
        <v>Kazakhstan</v>
      </c>
      <c r="X25" s="111">
        <f t="shared" si="52"/>
        <v>0</v>
      </c>
      <c r="Y25" s="111">
        <f t="shared" si="53"/>
        <v>0</v>
      </c>
      <c r="Z25" s="111">
        <f t="shared" si="54"/>
        <v>0</v>
      </c>
      <c r="AA25" s="111">
        <f t="shared" si="55"/>
        <v>0</v>
      </c>
      <c r="AB25" s="111">
        <f t="shared" si="56"/>
        <v>0</v>
      </c>
      <c r="AC25" s="111">
        <f t="shared" si="57"/>
        <v>0</v>
      </c>
      <c r="AD25" s="111">
        <f t="shared" si="58"/>
        <v>0</v>
      </c>
      <c r="AE25" s="111">
        <f t="shared" si="59"/>
        <v>0</v>
      </c>
      <c r="AF25" s="112">
        <f t="shared" si="60"/>
        <v>9.9514950495049508</v>
      </c>
      <c r="AG25" s="111">
        <v>1E-3</v>
      </c>
      <c r="AH25" s="111">
        <f>IF(COUNTIF(AE18:AE25,"=" &amp; AE25)=1,0,AE25)</f>
        <v>0</v>
      </c>
      <c r="AI25" s="111">
        <f>IF(AH25=AH26,1,0)</f>
        <v>0</v>
      </c>
      <c r="AJ25" s="111">
        <f t="shared" si="61"/>
        <v>0</v>
      </c>
      <c r="AK25" s="111">
        <f>IF(AJ25=AJ26,1,0)</f>
        <v>0</v>
      </c>
      <c r="AL25" s="111">
        <f t="shared" si="62"/>
        <v>1</v>
      </c>
      <c r="AN25" s="111">
        <f t="shared" si="63"/>
        <v>0</v>
      </c>
      <c r="AO25" s="111">
        <f t="shared" si="64"/>
        <v>0</v>
      </c>
      <c r="AP25" s="111">
        <f t="shared" si="65"/>
        <v>0</v>
      </c>
      <c r="AQ25" s="111">
        <f t="shared" si="66"/>
        <v>0</v>
      </c>
      <c r="AR25" s="111">
        <f t="shared" si="67"/>
        <v>0</v>
      </c>
      <c r="AS25" s="111">
        <f t="shared" si="68"/>
        <v>0</v>
      </c>
      <c r="AT25" s="111">
        <f t="shared" si="69"/>
        <v>0</v>
      </c>
      <c r="AU25" s="112">
        <f t="shared" si="70"/>
        <v>4.5004500450045006E-3</v>
      </c>
      <c r="AW25" s="111">
        <f t="shared" si="71"/>
        <v>0</v>
      </c>
      <c r="AX25" s="111">
        <f t="shared" si="72"/>
        <v>0</v>
      </c>
      <c r="AY25" s="111">
        <f t="shared" si="73"/>
        <v>0</v>
      </c>
      <c r="AZ25" s="111">
        <f t="shared" si="74"/>
        <v>0</v>
      </c>
      <c r="BA25" s="111">
        <f t="shared" si="75"/>
        <v>0</v>
      </c>
      <c r="BB25" s="111">
        <f t="shared" si="76"/>
        <v>0</v>
      </c>
      <c r="BC25" s="111">
        <f t="shared" si="77"/>
        <v>0</v>
      </c>
      <c r="BD25" s="112">
        <f t="shared" si="78"/>
        <v>4.5004500450045006E-3</v>
      </c>
      <c r="BH25" s="112" t="str">
        <f t="shared" si="35"/>
        <v/>
      </c>
      <c r="BI25" s="112" t="str">
        <f t="shared" si="36"/>
        <v/>
      </c>
      <c r="BJ25" s="111" t="str">
        <f t="shared" si="37"/>
        <v/>
      </c>
      <c r="BK25" s="111" t="str">
        <f t="shared" si="38"/>
        <v/>
      </c>
      <c r="BM25" s="112">
        <f t="shared" si="2"/>
        <v>0</v>
      </c>
      <c r="BN25" s="112" t="str">
        <f t="shared" si="39"/>
        <v/>
      </c>
      <c r="BO25" s="112" t="str">
        <f t="shared" si="40"/>
        <v/>
      </c>
      <c r="BP25" s="111" t="str">
        <f t="shared" si="41"/>
        <v/>
      </c>
      <c r="BQ25" s="111" t="str">
        <f t="shared" si="42"/>
        <v/>
      </c>
      <c r="BS25" s="112">
        <f t="shared" si="3"/>
        <v>0</v>
      </c>
      <c r="BT25" s="112" t="str">
        <f t="shared" si="43"/>
        <v/>
      </c>
      <c r="BU25" s="112" t="str">
        <f t="shared" si="44"/>
        <v/>
      </c>
      <c r="BV25" s="111" t="str">
        <f t="shared" si="45"/>
        <v/>
      </c>
      <c r="BW25" s="111" t="str">
        <f t="shared" si="46"/>
        <v/>
      </c>
      <c r="BY25" s="112">
        <f t="shared" si="4"/>
        <v>0</v>
      </c>
      <c r="BZ25" s="112" t="str">
        <f t="shared" si="47"/>
        <v/>
      </c>
      <c r="CA25" s="112" t="str">
        <f t="shared" si="48"/>
        <v/>
      </c>
      <c r="CB25" s="111" t="str">
        <f t="shared" si="49"/>
        <v/>
      </c>
      <c r="CC25" s="111" t="str">
        <f t="shared" si="50"/>
        <v/>
      </c>
    </row>
    <row r="26" spans="1:81" x14ac:dyDescent="0.2">
      <c r="A26" s="53" t="str">
        <f t="shared" si="0"/>
        <v>Mon</v>
      </c>
      <c r="B26" s="54" t="str">
        <f t="shared" si="1"/>
        <v>May 11, 2020</v>
      </c>
      <c r="C26" s="55">
        <f>TIME(7,20,0)+gmt_delta</f>
        <v>0.8472222222222221</v>
      </c>
      <c r="D26" s="86" t="str">
        <f>W21</f>
        <v>Switzerland</v>
      </c>
      <c r="E26" s="28"/>
      <c r="F26" s="23"/>
      <c r="G26" s="29"/>
      <c r="H26" s="89" t="str">
        <f>W19</f>
        <v>Finland</v>
      </c>
      <c r="I26" s="58" t="str">
        <f>INDEX(T,18,lang)</f>
        <v>Hallenstadion</v>
      </c>
      <c r="K26" s="64" t="str">
        <f>VLOOKUP(8,V18:AE25,2,FALSE)</f>
        <v>Kazakhstan</v>
      </c>
      <c r="L26" s="71">
        <f t="shared" si="79"/>
        <v>0</v>
      </c>
      <c r="M26" s="71">
        <f>VLOOKUP(8,V18:AE25,4,FALSE)</f>
        <v>0</v>
      </c>
      <c r="N26" s="71">
        <f>VLOOKUP(8,V18:AE25,5,FALSE)</f>
        <v>0</v>
      </c>
      <c r="O26" s="71">
        <f>VLOOKUP(8,V18:AE25,6,FALSE)</f>
        <v>0</v>
      </c>
      <c r="P26" s="71">
        <f>VLOOKUP(8,V18:AE25,7,FALSE)</f>
        <v>0</v>
      </c>
      <c r="Q26" s="71" t="str">
        <f>VLOOKUP(8,V18:AE25,8,FALSE) &amp; " - " &amp; VLOOKUP(8,V18:AE25,9,FALSE)</f>
        <v>0 - 0</v>
      </c>
      <c r="R26" s="72">
        <f t="shared" si="80"/>
        <v>0</v>
      </c>
      <c r="T26" s="111">
        <f>DATE(2020,5,11)+C26</f>
        <v>43962.847222222219</v>
      </c>
      <c r="AH26" s="113">
        <f>IF(MAX(AH22:AH25)=0,-1,MAX(AH22:AH25))</f>
        <v>-1</v>
      </c>
      <c r="AI26" s="111"/>
      <c r="AJ26" s="113">
        <f>IF(MAX(AJ22:AJ25)=0,-1,MAX(AJ22:AJ25))</f>
        <v>-1</v>
      </c>
      <c r="AK26" s="111"/>
      <c r="AL26" s="111"/>
      <c r="BH26" s="112" t="str">
        <f t="shared" si="35"/>
        <v/>
      </c>
      <c r="BI26" s="112" t="str">
        <f t="shared" si="36"/>
        <v/>
      </c>
      <c r="BJ26" s="111" t="str">
        <f t="shared" si="37"/>
        <v/>
      </c>
      <c r="BK26" s="111" t="str">
        <f t="shared" si="38"/>
        <v/>
      </c>
      <c r="BM26" s="112">
        <f t="shared" si="2"/>
        <v>0</v>
      </c>
      <c r="BN26" s="112" t="str">
        <f t="shared" si="39"/>
        <v/>
      </c>
      <c r="BO26" s="112" t="str">
        <f t="shared" si="40"/>
        <v/>
      </c>
      <c r="BP26" s="111" t="str">
        <f t="shared" si="41"/>
        <v/>
      </c>
      <c r="BQ26" s="111" t="str">
        <f t="shared" si="42"/>
        <v/>
      </c>
      <c r="BS26" s="112">
        <f t="shared" si="3"/>
        <v>0</v>
      </c>
      <c r="BT26" s="112" t="str">
        <f t="shared" si="43"/>
        <v/>
      </c>
      <c r="BU26" s="112" t="str">
        <f t="shared" si="44"/>
        <v/>
      </c>
      <c r="BV26" s="111" t="str">
        <f t="shared" si="45"/>
        <v/>
      </c>
      <c r="BW26" s="111" t="str">
        <f t="shared" si="46"/>
        <v/>
      </c>
      <c r="BY26" s="112">
        <f t="shared" si="4"/>
        <v>0</v>
      </c>
      <c r="BZ26" s="112" t="str">
        <f t="shared" si="47"/>
        <v/>
      </c>
      <c r="CA26" s="112" t="str">
        <f t="shared" si="48"/>
        <v/>
      </c>
      <c r="CB26" s="111" t="str">
        <f t="shared" si="49"/>
        <v/>
      </c>
      <c r="CC26" s="111" t="str">
        <f t="shared" si="50"/>
        <v/>
      </c>
    </row>
    <row r="27" spans="1:81" x14ac:dyDescent="0.2">
      <c r="A27" s="53" t="str">
        <f t="shared" si="0"/>
        <v>Tue</v>
      </c>
      <c r="B27" s="54" t="str">
        <f t="shared" si="1"/>
        <v>May 12, 2020</v>
      </c>
      <c r="C27" s="55">
        <f>TIME(3,20,0)+gmt_delta</f>
        <v>0.68055555555555558</v>
      </c>
      <c r="D27" s="86" t="str">
        <f>W15</f>
        <v>Great Britain</v>
      </c>
      <c r="E27" s="28"/>
      <c r="F27" s="23"/>
      <c r="G27" s="29"/>
      <c r="H27" s="89" t="str">
        <f>W13</f>
        <v>Denmark</v>
      </c>
      <c r="I27" s="58" t="str">
        <f>INDEX(T,17,lang)</f>
        <v>Lausanne Arena</v>
      </c>
      <c r="T27" s="111">
        <f>DATE(2020,5,12)+C27</f>
        <v>43963.680555555555</v>
      </c>
      <c r="BH27" s="112" t="str">
        <f t="shared" si="35"/>
        <v/>
      </c>
      <c r="BI27" s="112" t="str">
        <f t="shared" si="36"/>
        <v/>
      </c>
      <c r="BJ27" s="111" t="str">
        <f t="shared" si="37"/>
        <v/>
      </c>
      <c r="BK27" s="111" t="str">
        <f t="shared" si="38"/>
        <v/>
      </c>
      <c r="BM27" s="112">
        <f t="shared" si="2"/>
        <v>0</v>
      </c>
      <c r="BN27" s="112" t="str">
        <f t="shared" si="39"/>
        <v/>
      </c>
      <c r="BO27" s="112" t="str">
        <f t="shared" si="40"/>
        <v/>
      </c>
      <c r="BP27" s="111" t="str">
        <f t="shared" si="41"/>
        <v/>
      </c>
      <c r="BQ27" s="111" t="str">
        <f t="shared" si="42"/>
        <v/>
      </c>
      <c r="BS27" s="112">
        <f t="shared" si="3"/>
        <v>0</v>
      </c>
      <c r="BT27" s="112" t="str">
        <f t="shared" si="43"/>
        <v/>
      </c>
      <c r="BU27" s="112" t="str">
        <f t="shared" si="44"/>
        <v/>
      </c>
      <c r="BV27" s="111" t="str">
        <f t="shared" si="45"/>
        <v/>
      </c>
      <c r="BW27" s="111" t="str">
        <f t="shared" si="46"/>
        <v/>
      </c>
      <c r="BY27" s="112">
        <f t="shared" si="4"/>
        <v>1</v>
      </c>
      <c r="BZ27" s="112" t="str">
        <f t="shared" si="47"/>
        <v/>
      </c>
      <c r="CA27" s="112" t="str">
        <f t="shared" si="48"/>
        <v/>
      </c>
      <c r="CB27" s="111" t="str">
        <f t="shared" si="49"/>
        <v/>
      </c>
      <c r="CC27" s="111" t="str">
        <f t="shared" si="50"/>
        <v/>
      </c>
    </row>
    <row r="28" spans="1:81" ht="12.75" customHeight="1" x14ac:dyDescent="0.2">
      <c r="A28" s="53" t="str">
        <f t="shared" si="0"/>
        <v>Tue</v>
      </c>
      <c r="B28" s="54" t="str">
        <f t="shared" si="1"/>
        <v>May 12, 2020</v>
      </c>
      <c r="C28" s="55">
        <f>TIME(3,20,0)+gmt_delta</f>
        <v>0.68055555555555558</v>
      </c>
      <c r="D28" s="86" t="str">
        <f>W25</f>
        <v>Kazakhstan</v>
      </c>
      <c r="E28" s="28"/>
      <c r="F28" s="23"/>
      <c r="G28" s="29"/>
      <c r="H28" s="89" t="str">
        <f>W23</f>
        <v>Norway</v>
      </c>
      <c r="I28" s="58" t="str">
        <f>INDEX(T,18,lang)</f>
        <v>Hallenstadion</v>
      </c>
      <c r="K28" s="140" t="s">
        <v>211</v>
      </c>
      <c r="L28" s="141"/>
      <c r="M28" s="141"/>
      <c r="N28" s="141"/>
      <c r="O28" s="141"/>
      <c r="P28" s="141"/>
      <c r="Q28" s="141"/>
      <c r="R28" s="142"/>
      <c r="T28" s="111">
        <f>DATE(2020,5,12)+C28</f>
        <v>43963.680555555555</v>
      </c>
      <c r="BH28" s="112" t="str">
        <f t="shared" si="35"/>
        <v/>
      </c>
      <c r="BI28" s="112" t="str">
        <f t="shared" si="36"/>
        <v/>
      </c>
      <c r="BJ28" s="111" t="str">
        <f t="shared" si="37"/>
        <v/>
      </c>
      <c r="BK28" s="111" t="str">
        <f t="shared" si="38"/>
        <v/>
      </c>
      <c r="BM28" s="112">
        <f t="shared" si="2"/>
        <v>0</v>
      </c>
      <c r="BN28" s="112" t="str">
        <f t="shared" si="39"/>
        <v/>
      </c>
      <c r="BO28" s="112" t="str">
        <f t="shared" si="40"/>
        <v/>
      </c>
      <c r="BP28" s="111" t="str">
        <f t="shared" si="41"/>
        <v/>
      </c>
      <c r="BQ28" s="111" t="str">
        <f t="shared" si="42"/>
        <v/>
      </c>
      <c r="BS28" s="112">
        <f t="shared" si="3"/>
        <v>0</v>
      </c>
      <c r="BT28" s="112" t="str">
        <f t="shared" si="43"/>
        <v/>
      </c>
      <c r="BU28" s="112" t="str">
        <f t="shared" si="44"/>
        <v/>
      </c>
      <c r="BV28" s="111" t="str">
        <f t="shared" si="45"/>
        <v/>
      </c>
      <c r="BW28" s="111" t="str">
        <f t="shared" si="46"/>
        <v/>
      </c>
      <c r="BY28" s="112">
        <f t="shared" si="4"/>
        <v>1</v>
      </c>
      <c r="BZ28" s="112" t="str">
        <f t="shared" si="47"/>
        <v/>
      </c>
      <c r="CA28" s="112" t="str">
        <f t="shared" si="48"/>
        <v/>
      </c>
      <c r="CB28" s="111" t="str">
        <f t="shared" si="49"/>
        <v/>
      </c>
      <c r="CC28" s="111" t="str">
        <f t="shared" si="50"/>
        <v/>
      </c>
    </row>
    <row r="29" spans="1:81" ht="12.75" customHeight="1" x14ac:dyDescent="0.2">
      <c r="A29" s="53" t="str">
        <f t="shared" si="0"/>
        <v>Tue</v>
      </c>
      <c r="B29" s="54" t="str">
        <f t="shared" si="1"/>
        <v>May 12, 2020</v>
      </c>
      <c r="C29" s="55">
        <f>TIME(7,20,0)+gmt_delta</f>
        <v>0.8472222222222221</v>
      </c>
      <c r="D29" s="86" t="str">
        <f>W14</f>
        <v>Belarus</v>
      </c>
      <c r="E29" s="28"/>
      <c r="F29" s="23"/>
      <c r="G29" s="29"/>
      <c r="H29" s="89" t="str">
        <f>W12</f>
        <v>Slovakia</v>
      </c>
      <c r="I29" s="58" t="str">
        <f>INDEX(T,17,lang)</f>
        <v>Lausanne Arena</v>
      </c>
      <c r="K29" s="143"/>
      <c r="L29" s="144"/>
      <c r="M29" s="144"/>
      <c r="N29" s="144"/>
      <c r="O29" s="144"/>
      <c r="P29" s="144"/>
      <c r="Q29" s="144"/>
      <c r="R29" s="145"/>
      <c r="T29" s="111">
        <f>DATE(2020,5,12)+C29</f>
        <v>43963.847222222219</v>
      </c>
      <c r="AF29" s="111"/>
      <c r="AG29" s="111"/>
      <c r="AH29" s="111"/>
      <c r="AI29" s="111"/>
      <c r="AJ29" s="111"/>
      <c r="AK29" s="111"/>
      <c r="AL29" s="111"/>
      <c r="AU29" s="111"/>
      <c r="BD29" s="111"/>
      <c r="BH29" s="112" t="str">
        <f t="shared" si="35"/>
        <v/>
      </c>
      <c r="BI29" s="112" t="str">
        <f t="shared" si="36"/>
        <v/>
      </c>
      <c r="BJ29" s="111" t="str">
        <f t="shared" si="37"/>
        <v/>
      </c>
      <c r="BK29" s="111" t="str">
        <f t="shared" si="38"/>
        <v/>
      </c>
      <c r="BM29" s="112">
        <f t="shared" si="2"/>
        <v>0</v>
      </c>
      <c r="BN29" s="112" t="str">
        <f t="shared" si="39"/>
        <v/>
      </c>
      <c r="BO29" s="112" t="str">
        <f t="shared" si="40"/>
        <v/>
      </c>
      <c r="BP29" s="111" t="str">
        <f t="shared" si="41"/>
        <v/>
      </c>
      <c r="BQ29" s="111" t="str">
        <f t="shared" si="42"/>
        <v/>
      </c>
      <c r="BS29" s="112">
        <f t="shared" si="3"/>
        <v>0</v>
      </c>
      <c r="BT29" s="112" t="str">
        <f t="shared" si="43"/>
        <v/>
      </c>
      <c r="BU29" s="112" t="str">
        <f t="shared" si="44"/>
        <v/>
      </c>
      <c r="BV29" s="111" t="str">
        <f t="shared" si="45"/>
        <v/>
      </c>
      <c r="BW29" s="111" t="str">
        <f t="shared" si="46"/>
        <v/>
      </c>
      <c r="BY29" s="112">
        <f t="shared" si="4"/>
        <v>1</v>
      </c>
      <c r="BZ29" s="112" t="str">
        <f t="shared" si="47"/>
        <v/>
      </c>
      <c r="CA29" s="112" t="str">
        <f t="shared" si="48"/>
        <v/>
      </c>
      <c r="CB29" s="111" t="str">
        <f t="shared" si="49"/>
        <v/>
      </c>
      <c r="CC29" s="111" t="str">
        <f t="shared" si="50"/>
        <v/>
      </c>
    </row>
    <row r="30" spans="1:81" ht="12.75" customHeight="1" x14ac:dyDescent="0.2">
      <c r="A30" s="53" t="str">
        <f t="shared" si="0"/>
        <v>Tue</v>
      </c>
      <c r="B30" s="54" t="str">
        <f t="shared" si="1"/>
        <v>May 12, 2020</v>
      </c>
      <c r="C30" s="55">
        <f>TIME(7,20,0)+gmt_delta</f>
        <v>0.8472222222222221</v>
      </c>
      <c r="D30" s="86" t="str">
        <f>W24</f>
        <v>Italy</v>
      </c>
      <c r="E30" s="28"/>
      <c r="F30" s="23"/>
      <c r="G30" s="29"/>
      <c r="H30" s="89" t="str">
        <f>W22</f>
        <v>Latvia</v>
      </c>
      <c r="I30" s="58" t="str">
        <f>INDEX(T,18,lang)</f>
        <v>Hallenstadion</v>
      </c>
      <c r="K30" s="143"/>
      <c r="L30" s="144"/>
      <c r="M30" s="144"/>
      <c r="N30" s="144"/>
      <c r="O30" s="144"/>
      <c r="P30" s="144"/>
      <c r="Q30" s="144"/>
      <c r="R30" s="145"/>
      <c r="T30" s="111">
        <f>DATE(2020,5,12)+C30</f>
        <v>43963.847222222219</v>
      </c>
      <c r="BH30" s="112" t="str">
        <f t="shared" si="35"/>
        <v/>
      </c>
      <c r="BI30" s="112" t="str">
        <f t="shared" si="36"/>
        <v/>
      </c>
      <c r="BJ30" s="111" t="str">
        <f t="shared" si="37"/>
        <v/>
      </c>
      <c r="BK30" s="111" t="str">
        <f t="shared" si="38"/>
        <v/>
      </c>
      <c r="BM30" s="112">
        <f t="shared" si="2"/>
        <v>0</v>
      </c>
      <c r="BN30" s="112" t="str">
        <f t="shared" si="39"/>
        <v/>
      </c>
      <c r="BO30" s="112" t="str">
        <f t="shared" si="40"/>
        <v/>
      </c>
      <c r="BP30" s="111" t="str">
        <f t="shared" si="41"/>
        <v/>
      </c>
      <c r="BQ30" s="111" t="str">
        <f t="shared" si="42"/>
        <v/>
      </c>
      <c r="BS30" s="112">
        <f t="shared" si="3"/>
        <v>0</v>
      </c>
      <c r="BT30" s="112" t="str">
        <f t="shared" si="43"/>
        <v/>
      </c>
      <c r="BU30" s="112" t="str">
        <f t="shared" si="44"/>
        <v/>
      </c>
      <c r="BV30" s="111" t="str">
        <f t="shared" si="45"/>
        <v/>
      </c>
      <c r="BW30" s="111" t="str">
        <f t="shared" si="46"/>
        <v/>
      </c>
      <c r="BY30" s="112">
        <f t="shared" si="4"/>
        <v>1</v>
      </c>
      <c r="BZ30" s="112" t="str">
        <f t="shared" si="47"/>
        <v/>
      </c>
      <c r="CA30" s="112" t="str">
        <f t="shared" si="48"/>
        <v/>
      </c>
      <c r="CB30" s="111" t="str">
        <f t="shared" si="49"/>
        <v/>
      </c>
      <c r="CC30" s="111" t="str">
        <f t="shared" si="50"/>
        <v/>
      </c>
    </row>
    <row r="31" spans="1:81" x14ac:dyDescent="0.2">
      <c r="A31" s="53" t="str">
        <f t="shared" si="0"/>
        <v>Wed</v>
      </c>
      <c r="B31" s="54" t="str">
        <f t="shared" si="1"/>
        <v>May 13, 2020</v>
      </c>
      <c r="C31" s="55">
        <f>TIME(3,20,0)+gmt_delta</f>
        <v>0.68055555555555558</v>
      </c>
      <c r="D31" s="86" t="str">
        <f>W10</f>
        <v>Czech Republic</v>
      </c>
      <c r="E31" s="28"/>
      <c r="F31" s="23"/>
      <c r="G31" s="29"/>
      <c r="H31" s="89" t="str">
        <f>W15</f>
        <v>Great Britain</v>
      </c>
      <c r="I31" s="58" t="str">
        <f>INDEX(T,17,lang)</f>
        <v>Lausanne Arena</v>
      </c>
      <c r="K31" s="143"/>
      <c r="L31" s="144"/>
      <c r="M31" s="144"/>
      <c r="N31" s="144"/>
      <c r="O31" s="144"/>
      <c r="P31" s="144"/>
      <c r="Q31" s="144"/>
      <c r="R31" s="145"/>
      <c r="T31" s="111">
        <f>DATE(2020,5,13)+C31</f>
        <v>43964.680555555555</v>
      </c>
      <c r="AG31" s="111"/>
      <c r="AH31" s="111"/>
      <c r="AI31" s="111"/>
      <c r="AJ31" s="111"/>
      <c r="AK31" s="111"/>
      <c r="AL31" s="111"/>
      <c r="BH31" s="112" t="str">
        <f t="shared" si="35"/>
        <v/>
      </c>
      <c r="BI31" s="112" t="str">
        <f t="shared" si="36"/>
        <v/>
      </c>
      <c r="BJ31" s="111" t="str">
        <f t="shared" si="37"/>
        <v/>
      </c>
      <c r="BK31" s="111" t="str">
        <f t="shared" si="38"/>
        <v/>
      </c>
      <c r="BM31" s="112">
        <f t="shared" si="2"/>
        <v>0</v>
      </c>
      <c r="BN31" s="112" t="str">
        <f t="shared" si="39"/>
        <v/>
      </c>
      <c r="BO31" s="112" t="str">
        <f t="shared" si="40"/>
        <v/>
      </c>
      <c r="BP31" s="111" t="str">
        <f t="shared" si="41"/>
        <v/>
      </c>
      <c r="BQ31" s="111" t="str">
        <f t="shared" si="42"/>
        <v/>
      </c>
      <c r="BS31" s="112">
        <f t="shared" si="3"/>
        <v>0</v>
      </c>
      <c r="BT31" s="112" t="str">
        <f t="shared" si="43"/>
        <v/>
      </c>
      <c r="BU31" s="112" t="str">
        <f t="shared" si="44"/>
        <v/>
      </c>
      <c r="BV31" s="111" t="str">
        <f t="shared" si="45"/>
        <v/>
      </c>
      <c r="BW31" s="111" t="str">
        <f t="shared" si="46"/>
        <v/>
      </c>
      <c r="BY31" s="112">
        <f t="shared" si="4"/>
        <v>1</v>
      </c>
      <c r="BZ31" s="112" t="str">
        <f t="shared" si="47"/>
        <v/>
      </c>
      <c r="CA31" s="112" t="str">
        <f t="shared" si="48"/>
        <v/>
      </c>
      <c r="CB31" s="111" t="str">
        <f t="shared" si="49"/>
        <v/>
      </c>
      <c r="CC31" s="111" t="str">
        <f t="shared" si="50"/>
        <v/>
      </c>
    </row>
    <row r="32" spans="1:81" ht="12.75" customHeight="1" x14ac:dyDescent="0.2">
      <c r="A32" s="53" t="str">
        <f t="shared" si="0"/>
        <v>Wed</v>
      </c>
      <c r="B32" s="54" t="str">
        <f t="shared" si="1"/>
        <v>May 13, 2020</v>
      </c>
      <c r="C32" s="55">
        <f>TIME(3,20,0)+gmt_delta</f>
        <v>0.68055555555555558</v>
      </c>
      <c r="D32" s="86" t="str">
        <f>W20</f>
        <v>United States</v>
      </c>
      <c r="E32" s="28"/>
      <c r="F32" s="23"/>
      <c r="G32" s="29"/>
      <c r="H32" s="89" t="str">
        <f>W25</f>
        <v>Kazakhstan</v>
      </c>
      <c r="I32" s="58" t="str">
        <f>INDEX(T,18,lang)</f>
        <v>Hallenstadion</v>
      </c>
      <c r="K32" s="143"/>
      <c r="L32" s="144"/>
      <c r="M32" s="144"/>
      <c r="N32" s="144"/>
      <c r="O32" s="144"/>
      <c r="P32" s="144"/>
      <c r="Q32" s="144"/>
      <c r="R32" s="145"/>
      <c r="T32" s="111">
        <f>DATE(2020,5,13)+C32</f>
        <v>43964.680555555555</v>
      </c>
      <c r="AG32" s="111"/>
      <c r="AH32" s="111"/>
      <c r="AI32" s="111"/>
      <c r="AJ32" s="111"/>
      <c r="AK32" s="111"/>
      <c r="AL32" s="111"/>
      <c r="BH32" s="112" t="str">
        <f t="shared" si="35"/>
        <v/>
      </c>
      <c r="BI32" s="112" t="str">
        <f t="shared" si="36"/>
        <v/>
      </c>
      <c r="BJ32" s="111" t="str">
        <f t="shared" si="37"/>
        <v/>
      </c>
      <c r="BK32" s="111" t="str">
        <f t="shared" si="38"/>
        <v/>
      </c>
      <c r="BM32" s="112">
        <f t="shared" si="2"/>
        <v>0</v>
      </c>
      <c r="BN32" s="112" t="str">
        <f t="shared" si="39"/>
        <v/>
      </c>
      <c r="BO32" s="112" t="str">
        <f t="shared" si="40"/>
        <v/>
      </c>
      <c r="BP32" s="111" t="str">
        <f t="shared" si="41"/>
        <v/>
      </c>
      <c r="BQ32" s="111" t="str">
        <f t="shared" si="42"/>
        <v/>
      </c>
      <c r="BS32" s="112">
        <f t="shared" si="3"/>
        <v>0</v>
      </c>
      <c r="BT32" s="112" t="str">
        <f t="shared" si="43"/>
        <v/>
      </c>
      <c r="BU32" s="112" t="str">
        <f t="shared" si="44"/>
        <v/>
      </c>
      <c r="BV32" s="111" t="str">
        <f t="shared" si="45"/>
        <v/>
      </c>
      <c r="BW32" s="111" t="str">
        <f t="shared" si="46"/>
        <v/>
      </c>
      <c r="BY32" s="112">
        <f t="shared" si="4"/>
        <v>1</v>
      </c>
      <c r="BZ32" s="112" t="str">
        <f t="shared" si="47"/>
        <v/>
      </c>
      <c r="CA32" s="112" t="str">
        <f t="shared" si="48"/>
        <v/>
      </c>
      <c r="CB32" s="111" t="str">
        <f t="shared" si="49"/>
        <v/>
      </c>
      <c r="CC32" s="111" t="str">
        <f t="shared" si="50"/>
        <v/>
      </c>
    </row>
    <row r="33" spans="1:81" ht="12.75" customHeight="1" x14ac:dyDescent="0.2">
      <c r="A33" s="53" t="str">
        <f t="shared" si="0"/>
        <v>Wed</v>
      </c>
      <c r="B33" s="54" t="str">
        <f t="shared" si="1"/>
        <v>May 13, 2020</v>
      </c>
      <c r="C33" s="55">
        <f>TIME(7,20,0)+gmt_delta</f>
        <v>0.8472222222222221</v>
      </c>
      <c r="D33" s="86" t="str">
        <f>W8</f>
        <v>Canada</v>
      </c>
      <c r="E33" s="28"/>
      <c r="F33" s="23"/>
      <c r="G33" s="29"/>
      <c r="H33" s="89" t="str">
        <f>W14</f>
        <v>Belarus</v>
      </c>
      <c r="I33" s="58" t="str">
        <f>INDEX(T,17,lang)</f>
        <v>Lausanne Arena</v>
      </c>
      <c r="K33" s="143"/>
      <c r="L33" s="144"/>
      <c r="M33" s="144"/>
      <c r="N33" s="144"/>
      <c r="O33" s="144"/>
      <c r="P33" s="144"/>
      <c r="Q33" s="144"/>
      <c r="R33" s="145"/>
      <c r="T33" s="111">
        <f>DATE(2020,5,13)+C33</f>
        <v>43964.847222222219</v>
      </c>
      <c r="AG33" s="111"/>
      <c r="AH33" s="111"/>
      <c r="AI33" s="111"/>
      <c r="AJ33" s="111"/>
      <c r="AK33" s="111"/>
      <c r="AL33" s="111"/>
      <c r="BH33" s="112" t="str">
        <f t="shared" si="35"/>
        <v/>
      </c>
      <c r="BI33" s="112" t="str">
        <f t="shared" si="36"/>
        <v/>
      </c>
      <c r="BJ33" s="111" t="str">
        <f t="shared" si="37"/>
        <v/>
      </c>
      <c r="BK33" s="111" t="str">
        <f t="shared" si="38"/>
        <v/>
      </c>
      <c r="BM33" s="112">
        <f t="shared" si="2"/>
        <v>0</v>
      </c>
      <c r="BN33" s="112" t="str">
        <f t="shared" si="39"/>
        <v/>
      </c>
      <c r="BO33" s="112" t="str">
        <f t="shared" si="40"/>
        <v/>
      </c>
      <c r="BP33" s="111" t="str">
        <f t="shared" si="41"/>
        <v/>
      </c>
      <c r="BQ33" s="111" t="str">
        <f t="shared" si="42"/>
        <v/>
      </c>
      <c r="BS33" s="112">
        <f t="shared" si="3"/>
        <v>0</v>
      </c>
      <c r="BT33" s="112" t="str">
        <f t="shared" si="43"/>
        <v/>
      </c>
      <c r="BU33" s="112" t="str">
        <f t="shared" si="44"/>
        <v/>
      </c>
      <c r="BV33" s="111" t="str">
        <f t="shared" si="45"/>
        <v/>
      </c>
      <c r="BW33" s="111" t="str">
        <f t="shared" si="46"/>
        <v/>
      </c>
      <c r="BY33" s="112">
        <f t="shared" si="4"/>
        <v>1</v>
      </c>
      <c r="BZ33" s="112" t="str">
        <f t="shared" si="47"/>
        <v/>
      </c>
      <c r="CA33" s="112" t="str">
        <f t="shared" si="48"/>
        <v/>
      </c>
      <c r="CB33" s="111" t="str">
        <f t="shared" si="49"/>
        <v/>
      </c>
      <c r="CC33" s="111" t="str">
        <f t="shared" si="50"/>
        <v/>
      </c>
    </row>
    <row r="34" spans="1:81" x14ac:dyDescent="0.2">
      <c r="A34" s="53" t="str">
        <f t="shared" si="0"/>
        <v>Wed</v>
      </c>
      <c r="B34" s="54" t="str">
        <f t="shared" ref="B34:B57" si="81">INDEX(T,25+MONTH(T34),lang) &amp; " " &amp; DAY(T34) &amp; ", " &amp; YEAR(T34)</f>
        <v>May 13, 2020</v>
      </c>
      <c r="C34" s="55">
        <f>TIME(7,20,0)+gmt_delta</f>
        <v>0.8472222222222221</v>
      </c>
      <c r="D34" s="86" t="str">
        <f>W18</f>
        <v>Russian Federation</v>
      </c>
      <c r="E34" s="28"/>
      <c r="F34" s="23"/>
      <c r="G34" s="29"/>
      <c r="H34" s="89" t="str">
        <f>W24</f>
        <v>Italy</v>
      </c>
      <c r="I34" s="58" t="str">
        <f>INDEX(T,18,lang)</f>
        <v>Hallenstadion</v>
      </c>
      <c r="K34" s="146"/>
      <c r="L34" s="147"/>
      <c r="M34" s="147"/>
      <c r="N34" s="147"/>
      <c r="O34" s="147"/>
      <c r="P34" s="147"/>
      <c r="Q34" s="147"/>
      <c r="R34" s="148"/>
      <c r="T34" s="111">
        <f>DATE(2020,5,13)+C34</f>
        <v>43964.847222222219</v>
      </c>
      <c r="AG34" s="111"/>
      <c r="AH34" s="111"/>
      <c r="AI34" s="111"/>
      <c r="AJ34" s="111"/>
      <c r="AK34" s="111"/>
      <c r="AL34" s="111"/>
      <c r="BH34" s="112" t="str">
        <f t="shared" si="35"/>
        <v/>
      </c>
      <c r="BI34" s="112" t="str">
        <f t="shared" si="36"/>
        <v/>
      </c>
      <c r="BJ34" s="111" t="str">
        <f t="shared" si="37"/>
        <v/>
      </c>
      <c r="BK34" s="111" t="str">
        <f t="shared" si="38"/>
        <v/>
      </c>
      <c r="BM34" s="112">
        <f t="shared" si="2"/>
        <v>0</v>
      </c>
      <c r="BN34" s="112" t="str">
        <f t="shared" si="39"/>
        <v/>
      </c>
      <c r="BO34" s="112" t="str">
        <f t="shared" si="40"/>
        <v/>
      </c>
      <c r="BP34" s="111" t="str">
        <f t="shared" si="41"/>
        <v/>
      </c>
      <c r="BQ34" s="111" t="str">
        <f t="shared" si="42"/>
        <v/>
      </c>
      <c r="BS34" s="112">
        <f t="shared" si="3"/>
        <v>0</v>
      </c>
      <c r="BT34" s="112" t="str">
        <f t="shared" si="43"/>
        <v/>
      </c>
      <c r="BU34" s="112" t="str">
        <f t="shared" si="44"/>
        <v/>
      </c>
      <c r="BV34" s="111" t="str">
        <f t="shared" si="45"/>
        <v/>
      </c>
      <c r="BW34" s="111" t="str">
        <f t="shared" si="46"/>
        <v/>
      </c>
      <c r="BY34" s="112">
        <f t="shared" si="4"/>
        <v>1</v>
      </c>
      <c r="BZ34" s="112" t="str">
        <f t="shared" si="47"/>
        <v/>
      </c>
      <c r="CA34" s="112" t="str">
        <f t="shared" si="48"/>
        <v/>
      </c>
      <c r="CB34" s="111" t="str">
        <f t="shared" si="49"/>
        <v/>
      </c>
      <c r="CC34" s="111" t="str">
        <f t="shared" si="50"/>
        <v/>
      </c>
    </row>
    <row r="35" spans="1:81" x14ac:dyDescent="0.2">
      <c r="A35" s="53" t="str">
        <f t="shared" si="0"/>
        <v>Thu</v>
      </c>
      <c r="B35" s="54" t="str">
        <f t="shared" si="81"/>
        <v>May 14, 2020</v>
      </c>
      <c r="C35" s="55">
        <f>TIME(3,20,0)+gmt_delta</f>
        <v>0.68055555555555558</v>
      </c>
      <c r="D35" s="86" t="str">
        <f>W13</f>
        <v>Denmark</v>
      </c>
      <c r="E35" s="28"/>
      <c r="F35" s="23"/>
      <c r="G35" s="29"/>
      <c r="H35" s="89" t="str">
        <f>W11</f>
        <v>Germany</v>
      </c>
      <c r="I35" s="58" t="str">
        <f>INDEX(T,17,lang)</f>
        <v>Lausanne Arena</v>
      </c>
      <c r="T35" s="111">
        <f>DATE(2020,5,14)+C35</f>
        <v>43965.680555555555</v>
      </c>
      <c r="AG35" s="111"/>
      <c r="AH35" s="111"/>
      <c r="AI35" s="111"/>
      <c r="AJ35" s="111"/>
      <c r="AK35" s="111"/>
      <c r="AL35" s="111"/>
      <c r="BH35" s="112" t="str">
        <f t="shared" si="35"/>
        <v/>
      </c>
      <c r="BI35" s="112" t="str">
        <f t="shared" si="36"/>
        <v/>
      </c>
      <c r="BJ35" s="111" t="str">
        <f t="shared" si="37"/>
        <v/>
      </c>
      <c r="BK35" s="111" t="str">
        <f t="shared" si="38"/>
        <v/>
      </c>
      <c r="BM35" s="112">
        <f t="shared" si="2"/>
        <v>0</v>
      </c>
      <c r="BN35" s="112" t="str">
        <f t="shared" si="39"/>
        <v/>
      </c>
      <c r="BO35" s="112" t="str">
        <f t="shared" si="40"/>
        <v/>
      </c>
      <c r="BP35" s="111" t="str">
        <f t="shared" si="41"/>
        <v/>
      </c>
      <c r="BQ35" s="111" t="str">
        <f t="shared" si="42"/>
        <v/>
      </c>
      <c r="BS35" s="112">
        <f t="shared" si="3"/>
        <v>0</v>
      </c>
      <c r="BT35" s="112" t="str">
        <f t="shared" si="43"/>
        <v/>
      </c>
      <c r="BU35" s="112" t="str">
        <f t="shared" si="44"/>
        <v/>
      </c>
      <c r="BV35" s="111" t="str">
        <f t="shared" si="45"/>
        <v/>
      </c>
      <c r="BW35" s="111" t="str">
        <f t="shared" si="46"/>
        <v/>
      </c>
      <c r="BY35" s="112">
        <f t="shared" si="4"/>
        <v>0</v>
      </c>
      <c r="BZ35" s="112" t="str">
        <f t="shared" si="47"/>
        <v/>
      </c>
      <c r="CA35" s="112" t="str">
        <f t="shared" si="48"/>
        <v/>
      </c>
      <c r="CB35" s="111" t="str">
        <f t="shared" si="49"/>
        <v/>
      </c>
      <c r="CC35" s="111" t="str">
        <f t="shared" si="50"/>
        <v/>
      </c>
    </row>
    <row r="36" spans="1:81" ht="12.75" customHeight="1" x14ac:dyDescent="0.2">
      <c r="A36" s="53" t="str">
        <f t="shared" si="0"/>
        <v>Thu</v>
      </c>
      <c r="B36" s="54" t="str">
        <f t="shared" si="81"/>
        <v>May 14, 2020</v>
      </c>
      <c r="C36" s="55">
        <f>TIME(3,20,0)+gmt_delta</f>
        <v>0.68055555555555558</v>
      </c>
      <c r="D36" s="86" t="str">
        <f>W23</f>
        <v>Norway</v>
      </c>
      <c r="E36" s="28"/>
      <c r="F36" s="23"/>
      <c r="G36" s="29"/>
      <c r="H36" s="89" t="str">
        <f>W21</f>
        <v>Switzerland</v>
      </c>
      <c r="I36" s="58" t="str">
        <f>INDEX(T,18,lang)</f>
        <v>Hallenstadion</v>
      </c>
      <c r="K36" s="150" t="s">
        <v>244</v>
      </c>
      <c r="L36" s="125"/>
      <c r="M36" s="125"/>
      <c r="N36" s="125"/>
      <c r="O36" s="125"/>
      <c r="P36" s="125"/>
      <c r="Q36" s="125"/>
      <c r="R36" s="126"/>
      <c r="T36" s="111">
        <f>DATE(2020,5,14)+C36</f>
        <v>43965.680555555555</v>
      </c>
      <c r="AG36" s="111"/>
      <c r="AH36" s="111"/>
      <c r="AI36" s="111"/>
      <c r="AJ36" s="111"/>
      <c r="AK36" s="111"/>
      <c r="AL36" s="111"/>
      <c r="BH36" s="112" t="str">
        <f t="shared" si="35"/>
        <v/>
      </c>
      <c r="BI36" s="112" t="str">
        <f t="shared" si="36"/>
        <v/>
      </c>
      <c r="BJ36" s="111" t="str">
        <f t="shared" si="37"/>
        <v/>
      </c>
      <c r="BK36" s="111" t="str">
        <f t="shared" si="38"/>
        <v/>
      </c>
      <c r="BM36" s="112">
        <f t="shared" si="2"/>
        <v>0</v>
      </c>
      <c r="BN36" s="112" t="str">
        <f t="shared" si="39"/>
        <v/>
      </c>
      <c r="BO36" s="112" t="str">
        <f t="shared" si="40"/>
        <v/>
      </c>
      <c r="BP36" s="111" t="str">
        <f t="shared" si="41"/>
        <v/>
      </c>
      <c r="BQ36" s="111" t="str">
        <f t="shared" si="42"/>
        <v/>
      </c>
      <c r="BS36" s="112">
        <f t="shared" si="3"/>
        <v>0</v>
      </c>
      <c r="BT36" s="112" t="str">
        <f t="shared" si="43"/>
        <v/>
      </c>
      <c r="BU36" s="112" t="str">
        <f t="shared" si="44"/>
        <v/>
      </c>
      <c r="BV36" s="111" t="str">
        <f t="shared" si="45"/>
        <v/>
      </c>
      <c r="BW36" s="111" t="str">
        <f t="shared" si="46"/>
        <v/>
      </c>
      <c r="BY36" s="112">
        <f t="shared" si="4"/>
        <v>0</v>
      </c>
      <c r="BZ36" s="112" t="str">
        <f t="shared" si="47"/>
        <v/>
      </c>
      <c r="CA36" s="112" t="str">
        <f t="shared" si="48"/>
        <v/>
      </c>
      <c r="CB36" s="111" t="str">
        <f t="shared" si="49"/>
        <v/>
      </c>
      <c r="CC36" s="111" t="str">
        <f t="shared" si="50"/>
        <v/>
      </c>
    </row>
    <row r="37" spans="1:81" x14ac:dyDescent="0.2">
      <c r="A37" s="53" t="str">
        <f t="shared" si="0"/>
        <v>Thu</v>
      </c>
      <c r="B37" s="54" t="str">
        <f t="shared" si="81"/>
        <v>May 14, 2020</v>
      </c>
      <c r="C37" s="55">
        <f>TIME(7,20,0)+gmt_delta</f>
        <v>0.8472222222222221</v>
      </c>
      <c r="D37" s="86" t="str">
        <f>W9</f>
        <v>Sweden</v>
      </c>
      <c r="E37" s="28"/>
      <c r="F37" s="23"/>
      <c r="G37" s="29"/>
      <c r="H37" s="89" t="str">
        <f>W12</f>
        <v>Slovakia</v>
      </c>
      <c r="I37" s="58" t="str">
        <f>INDEX(T,17,lang)</f>
        <v>Lausanne Arena</v>
      </c>
      <c r="K37" s="127"/>
      <c r="L37" s="149"/>
      <c r="M37" s="149"/>
      <c r="N37" s="149"/>
      <c r="O37" s="149"/>
      <c r="P37" s="149"/>
      <c r="Q37" s="149"/>
      <c r="R37" s="128"/>
      <c r="T37" s="111">
        <f>DATE(2020,5,14)+C37</f>
        <v>43965.847222222219</v>
      </c>
      <c r="AH37" s="113"/>
      <c r="AI37" s="111"/>
      <c r="AJ37" s="113"/>
      <c r="AK37" s="111"/>
      <c r="AL37" s="111"/>
      <c r="BH37" s="112" t="str">
        <f t="shared" si="35"/>
        <v/>
      </c>
      <c r="BI37" s="112" t="str">
        <f t="shared" si="36"/>
        <v/>
      </c>
      <c r="BJ37" s="111" t="str">
        <f t="shared" si="37"/>
        <v/>
      </c>
      <c r="BK37" s="111" t="str">
        <f t="shared" si="38"/>
        <v/>
      </c>
      <c r="BM37" s="112">
        <f t="shared" si="2"/>
        <v>0</v>
      </c>
      <c r="BN37" s="112" t="str">
        <f t="shared" si="39"/>
        <v/>
      </c>
      <c r="BO37" s="112" t="str">
        <f t="shared" si="40"/>
        <v/>
      </c>
      <c r="BP37" s="111" t="str">
        <f t="shared" si="41"/>
        <v/>
      </c>
      <c r="BQ37" s="111" t="str">
        <f t="shared" si="42"/>
        <v/>
      </c>
      <c r="BS37" s="112">
        <f t="shared" si="3"/>
        <v>0</v>
      </c>
      <c r="BT37" s="112" t="str">
        <f t="shared" si="43"/>
        <v/>
      </c>
      <c r="BU37" s="112" t="str">
        <f t="shared" si="44"/>
        <v/>
      </c>
      <c r="BV37" s="111" t="str">
        <f t="shared" si="45"/>
        <v/>
      </c>
      <c r="BW37" s="111" t="str">
        <f t="shared" si="46"/>
        <v/>
      </c>
      <c r="BY37" s="112">
        <f t="shared" si="4"/>
        <v>1</v>
      </c>
      <c r="BZ37" s="112" t="str">
        <f t="shared" si="47"/>
        <v/>
      </c>
      <c r="CA37" s="112" t="str">
        <f t="shared" si="48"/>
        <v/>
      </c>
      <c r="CB37" s="111" t="str">
        <f t="shared" si="49"/>
        <v/>
      </c>
      <c r="CC37" s="111" t="str">
        <f t="shared" si="50"/>
        <v/>
      </c>
    </row>
    <row r="38" spans="1:81" x14ac:dyDescent="0.2">
      <c r="A38" s="53" t="str">
        <f t="shared" si="0"/>
        <v>Thu</v>
      </c>
      <c r="B38" s="54" t="str">
        <f t="shared" si="81"/>
        <v>May 14, 2020</v>
      </c>
      <c r="C38" s="55">
        <f>TIME(7,20,0)+gmt_delta</f>
        <v>0.8472222222222221</v>
      </c>
      <c r="D38" s="86" t="str">
        <f>W19</f>
        <v>Finland</v>
      </c>
      <c r="E38" s="28"/>
      <c r="F38" s="23"/>
      <c r="G38" s="29"/>
      <c r="H38" s="89" t="str">
        <f>W22</f>
        <v>Latvia</v>
      </c>
      <c r="I38" s="58" t="str">
        <f>INDEX(T,18,lang)</f>
        <v>Hallenstadion</v>
      </c>
      <c r="K38" s="127"/>
      <c r="L38" s="149"/>
      <c r="M38" s="149"/>
      <c r="N38" s="149"/>
      <c r="O38" s="149"/>
      <c r="P38" s="149"/>
      <c r="Q38" s="149"/>
      <c r="R38" s="128"/>
      <c r="T38" s="111">
        <f>DATE(2020,5,14)+C38</f>
        <v>43965.847222222219</v>
      </c>
      <c r="BH38" s="112" t="str">
        <f t="shared" si="35"/>
        <v/>
      </c>
      <c r="BI38" s="112" t="str">
        <f t="shared" si="36"/>
        <v/>
      </c>
      <c r="BJ38" s="111" t="str">
        <f t="shared" si="37"/>
        <v/>
      </c>
      <c r="BK38" s="111" t="str">
        <f t="shared" si="38"/>
        <v/>
      </c>
      <c r="BM38" s="112">
        <f t="shared" si="2"/>
        <v>0</v>
      </c>
      <c r="BN38" s="112" t="str">
        <f t="shared" si="39"/>
        <v/>
      </c>
      <c r="BO38" s="112" t="str">
        <f t="shared" si="40"/>
        <v/>
      </c>
      <c r="BP38" s="111" t="str">
        <f t="shared" si="41"/>
        <v/>
      </c>
      <c r="BQ38" s="111" t="str">
        <f t="shared" si="42"/>
        <v/>
      </c>
      <c r="BS38" s="112">
        <f t="shared" si="3"/>
        <v>0</v>
      </c>
      <c r="BT38" s="112" t="str">
        <f t="shared" si="43"/>
        <v/>
      </c>
      <c r="BU38" s="112" t="str">
        <f t="shared" si="44"/>
        <v/>
      </c>
      <c r="BV38" s="111" t="str">
        <f t="shared" si="45"/>
        <v/>
      </c>
      <c r="BW38" s="111" t="str">
        <f t="shared" si="46"/>
        <v/>
      </c>
      <c r="BY38" s="112">
        <f t="shared" si="4"/>
        <v>1</v>
      </c>
      <c r="BZ38" s="112" t="str">
        <f t="shared" si="47"/>
        <v/>
      </c>
      <c r="CA38" s="112" t="str">
        <f t="shared" si="48"/>
        <v/>
      </c>
      <c r="CB38" s="111" t="str">
        <f t="shared" si="49"/>
        <v/>
      </c>
      <c r="CC38" s="111" t="str">
        <f t="shared" si="50"/>
        <v/>
      </c>
    </row>
    <row r="39" spans="1:81" x14ac:dyDescent="0.2">
      <c r="A39" s="53" t="str">
        <f t="shared" ref="A39:A62" si="82">INDEX(T,19+INT(MOD(T39-1,7)),lang)</f>
        <v>Fri</v>
      </c>
      <c r="B39" s="54" t="str">
        <f t="shared" si="81"/>
        <v>May 15, 2020</v>
      </c>
      <c r="C39" s="55">
        <f>TIME(3,20,0)+gmt_delta</f>
        <v>0.68055555555555558</v>
      </c>
      <c r="D39" s="86" t="str">
        <f>W11</f>
        <v>Germany</v>
      </c>
      <c r="E39" s="28"/>
      <c r="F39" s="23"/>
      <c r="G39" s="29"/>
      <c r="H39" s="89" t="str">
        <f>W14</f>
        <v>Belarus</v>
      </c>
      <c r="I39" s="58" t="str">
        <f>INDEX(T,17,lang)</f>
        <v>Lausanne Arena</v>
      </c>
      <c r="K39" s="129"/>
      <c r="L39" s="130"/>
      <c r="M39" s="130"/>
      <c r="N39" s="130"/>
      <c r="O39" s="130"/>
      <c r="P39" s="130"/>
      <c r="Q39" s="130"/>
      <c r="R39" s="131"/>
      <c r="T39" s="111">
        <f t="shared" ref="T39:T44" si="83">DATE(2020,5,15)+C39</f>
        <v>43966.680555555555</v>
      </c>
      <c r="BH39" s="112" t="str">
        <f t="shared" si="35"/>
        <v/>
      </c>
      <c r="BI39" s="112" t="str">
        <f t="shared" si="36"/>
        <v/>
      </c>
      <c r="BJ39" s="111" t="str">
        <f t="shared" si="37"/>
        <v/>
      </c>
      <c r="BK39" s="111" t="str">
        <f t="shared" si="38"/>
        <v/>
      </c>
      <c r="BM39" s="112">
        <f t="shared" ref="BM39:BM62" si="84">VLOOKUP(D39,$W$8:$AI$25,13,FALSE) * VLOOKUP(H39,$W$8:$AI$25,13,FALSE)</f>
        <v>0</v>
      </c>
      <c r="BN39" s="112" t="str">
        <f t="shared" si="39"/>
        <v/>
      </c>
      <c r="BO39" s="112" t="str">
        <f t="shared" si="40"/>
        <v/>
      </c>
      <c r="BP39" s="111" t="str">
        <f t="shared" si="41"/>
        <v/>
      </c>
      <c r="BQ39" s="111" t="str">
        <f t="shared" si="42"/>
        <v/>
      </c>
      <c r="BS39" s="112">
        <f t="shared" ref="BS39:BS62" si="85">VLOOKUP(D39,$W$8:$AK$25,15,FALSE) * VLOOKUP(H39,$W$8:$AK$25,15,FALSE)</f>
        <v>0</v>
      </c>
      <c r="BT39" s="112" t="str">
        <f t="shared" si="43"/>
        <v/>
      </c>
      <c r="BU39" s="112" t="str">
        <f t="shared" si="44"/>
        <v/>
      </c>
      <c r="BV39" s="111" t="str">
        <f t="shared" si="45"/>
        <v/>
      </c>
      <c r="BW39" s="111" t="str">
        <f t="shared" si="46"/>
        <v/>
      </c>
      <c r="BY39" s="112">
        <f t="shared" ref="BY39:BY62" si="86">VLOOKUP(D39,$W$8:$AL$25,16,FALSE) * VLOOKUP(H39,$W$8:$AL$25,16,FALSE)</f>
        <v>0</v>
      </c>
      <c r="BZ39" s="112" t="str">
        <f t="shared" si="47"/>
        <v/>
      </c>
      <c r="CA39" s="112" t="str">
        <f t="shared" si="48"/>
        <v/>
      </c>
      <c r="CB39" s="111" t="str">
        <f t="shared" si="49"/>
        <v/>
      </c>
      <c r="CC39" s="111" t="str">
        <f t="shared" si="50"/>
        <v/>
      </c>
    </row>
    <row r="40" spans="1:81" x14ac:dyDescent="0.2">
      <c r="A40" s="53" t="str">
        <f t="shared" si="82"/>
        <v>Fri</v>
      </c>
      <c r="B40" s="54" t="str">
        <f t="shared" si="81"/>
        <v>May 15, 2020</v>
      </c>
      <c r="C40" s="55">
        <f>TIME(3,20,0)+gmt_delta</f>
        <v>0.68055555555555558</v>
      </c>
      <c r="D40" s="86" t="str">
        <f>W25</f>
        <v>Kazakhstan</v>
      </c>
      <c r="E40" s="28"/>
      <c r="F40" s="23"/>
      <c r="G40" s="29"/>
      <c r="H40" s="89" t="str">
        <f>W18</f>
        <v>Russian Federation</v>
      </c>
      <c r="I40" s="58" t="str">
        <f>INDEX(T,18,lang)</f>
        <v>Hallenstadion</v>
      </c>
      <c r="T40" s="111">
        <f t="shared" si="83"/>
        <v>43966.680555555555</v>
      </c>
      <c r="AG40" s="111"/>
      <c r="AH40" s="111"/>
      <c r="AI40" s="111"/>
      <c r="AJ40" s="111"/>
      <c r="AK40" s="111"/>
      <c r="AL40" s="111"/>
      <c r="BH40" s="112" t="str">
        <f t="shared" si="35"/>
        <v/>
      </c>
      <c r="BI40" s="112" t="str">
        <f t="shared" si="36"/>
        <v/>
      </c>
      <c r="BJ40" s="111" t="str">
        <f t="shared" si="37"/>
        <v/>
      </c>
      <c r="BK40" s="111" t="str">
        <f t="shared" si="38"/>
        <v/>
      </c>
      <c r="BM40" s="112">
        <f t="shared" si="84"/>
        <v>0</v>
      </c>
      <c r="BN40" s="112" t="str">
        <f t="shared" si="39"/>
        <v/>
      </c>
      <c r="BO40" s="112" t="str">
        <f t="shared" si="40"/>
        <v/>
      </c>
      <c r="BP40" s="111" t="str">
        <f t="shared" si="41"/>
        <v/>
      </c>
      <c r="BQ40" s="111" t="str">
        <f t="shared" si="42"/>
        <v/>
      </c>
      <c r="BS40" s="112">
        <f t="shared" si="85"/>
        <v>0</v>
      </c>
      <c r="BT40" s="112" t="str">
        <f t="shared" si="43"/>
        <v/>
      </c>
      <c r="BU40" s="112" t="str">
        <f t="shared" si="44"/>
        <v/>
      </c>
      <c r="BV40" s="111" t="str">
        <f t="shared" si="45"/>
        <v/>
      </c>
      <c r="BW40" s="111" t="str">
        <f t="shared" si="46"/>
        <v/>
      </c>
      <c r="BY40" s="112">
        <f t="shared" si="86"/>
        <v>1</v>
      </c>
      <c r="BZ40" s="112" t="str">
        <f t="shared" si="47"/>
        <v/>
      </c>
      <c r="CA40" s="112" t="str">
        <f t="shared" si="48"/>
        <v/>
      </c>
      <c r="CB40" s="111" t="str">
        <f t="shared" si="49"/>
        <v/>
      </c>
      <c r="CC40" s="111" t="str">
        <f t="shared" si="50"/>
        <v/>
      </c>
    </row>
    <row r="41" spans="1:81" x14ac:dyDescent="0.2">
      <c r="A41" s="53" t="str">
        <f t="shared" si="82"/>
        <v>Fri</v>
      </c>
      <c r="B41" s="54" t="str">
        <f t="shared" si="81"/>
        <v>May 15, 2020</v>
      </c>
      <c r="C41" s="55">
        <f>TIME(7,20,0)+gmt_delta</f>
        <v>0.8472222222222221</v>
      </c>
      <c r="D41" s="86" t="str">
        <f>W15</f>
        <v>Great Britain</v>
      </c>
      <c r="E41" s="28"/>
      <c r="F41" s="23"/>
      <c r="G41" s="29"/>
      <c r="H41" s="89" t="str">
        <f>W8</f>
        <v>Canada</v>
      </c>
      <c r="I41" s="58" t="str">
        <f>INDEX(T,17,lang)</f>
        <v>Lausanne Arena</v>
      </c>
      <c r="T41" s="111">
        <f t="shared" si="83"/>
        <v>43966.847222222219</v>
      </c>
      <c r="AG41" s="111"/>
      <c r="AH41" s="111"/>
      <c r="AI41" s="111"/>
      <c r="AJ41" s="111"/>
      <c r="AK41" s="111"/>
      <c r="AL41" s="111"/>
      <c r="BH41" s="112" t="str">
        <f t="shared" si="35"/>
        <v/>
      </c>
      <c r="BI41" s="112" t="str">
        <f t="shared" si="36"/>
        <v/>
      </c>
      <c r="BJ41" s="111" t="str">
        <f t="shared" si="37"/>
        <v/>
      </c>
      <c r="BK41" s="111" t="str">
        <f t="shared" si="38"/>
        <v/>
      </c>
      <c r="BM41" s="112">
        <f t="shared" si="84"/>
        <v>0</v>
      </c>
      <c r="BN41" s="112" t="str">
        <f t="shared" si="39"/>
        <v/>
      </c>
      <c r="BO41" s="112" t="str">
        <f t="shared" si="40"/>
        <v/>
      </c>
      <c r="BP41" s="111" t="str">
        <f t="shared" si="41"/>
        <v/>
      </c>
      <c r="BQ41" s="111" t="str">
        <f t="shared" si="42"/>
        <v/>
      </c>
      <c r="BS41" s="112">
        <f t="shared" si="85"/>
        <v>0</v>
      </c>
      <c r="BT41" s="112" t="str">
        <f t="shared" si="43"/>
        <v/>
      </c>
      <c r="BU41" s="112" t="str">
        <f t="shared" si="44"/>
        <v/>
      </c>
      <c r="BV41" s="111" t="str">
        <f t="shared" si="45"/>
        <v/>
      </c>
      <c r="BW41" s="111" t="str">
        <f t="shared" si="46"/>
        <v/>
      </c>
      <c r="BY41" s="112">
        <f t="shared" si="86"/>
        <v>1</v>
      </c>
      <c r="BZ41" s="112" t="str">
        <f t="shared" si="47"/>
        <v/>
      </c>
      <c r="CA41" s="112" t="str">
        <f t="shared" si="48"/>
        <v/>
      </c>
      <c r="CB41" s="111" t="str">
        <f t="shared" si="49"/>
        <v/>
      </c>
      <c r="CC41" s="111" t="str">
        <f t="shared" si="50"/>
        <v/>
      </c>
    </row>
    <row r="42" spans="1:81" x14ac:dyDescent="0.2">
      <c r="A42" s="53" t="str">
        <f t="shared" si="82"/>
        <v>Fri</v>
      </c>
      <c r="B42" s="54" t="str">
        <f t="shared" si="81"/>
        <v>May 15, 2020</v>
      </c>
      <c r="C42" s="55">
        <f>TIME(7,20,0)+gmt_delta</f>
        <v>0.8472222222222221</v>
      </c>
      <c r="D42" s="86" t="str">
        <f>W21</f>
        <v>Switzerland</v>
      </c>
      <c r="E42" s="28"/>
      <c r="F42" s="23"/>
      <c r="G42" s="29"/>
      <c r="H42" s="89" t="str">
        <f>W24</f>
        <v>Italy</v>
      </c>
      <c r="I42" s="58" t="str">
        <f>INDEX(T,18,lang)</f>
        <v>Hallenstadion</v>
      </c>
      <c r="T42" s="111">
        <f t="shared" si="83"/>
        <v>43966.847222222219</v>
      </c>
      <c r="AG42" s="111"/>
      <c r="AH42" s="111"/>
      <c r="AI42" s="111"/>
      <c r="AJ42" s="111"/>
      <c r="AK42" s="111"/>
      <c r="AL42" s="111"/>
      <c r="BH42" s="112" t="str">
        <f t="shared" si="35"/>
        <v/>
      </c>
      <c r="BI42" s="112" t="str">
        <f t="shared" si="36"/>
        <v/>
      </c>
      <c r="BJ42" s="111" t="str">
        <f t="shared" si="37"/>
        <v/>
      </c>
      <c r="BK42" s="111" t="str">
        <f t="shared" si="38"/>
        <v/>
      </c>
      <c r="BM42" s="112">
        <f t="shared" si="84"/>
        <v>0</v>
      </c>
      <c r="BN42" s="112" t="str">
        <f t="shared" si="39"/>
        <v/>
      </c>
      <c r="BO42" s="112" t="str">
        <f t="shared" si="40"/>
        <v/>
      </c>
      <c r="BP42" s="111" t="str">
        <f t="shared" si="41"/>
        <v/>
      </c>
      <c r="BQ42" s="111" t="str">
        <f t="shared" si="42"/>
        <v/>
      </c>
      <c r="BS42" s="112">
        <f t="shared" si="85"/>
        <v>0</v>
      </c>
      <c r="BT42" s="112" t="str">
        <f t="shared" si="43"/>
        <v/>
      </c>
      <c r="BU42" s="112" t="str">
        <f t="shared" si="44"/>
        <v/>
      </c>
      <c r="BV42" s="111" t="str">
        <f t="shared" si="45"/>
        <v/>
      </c>
      <c r="BW42" s="111" t="str">
        <f t="shared" si="46"/>
        <v/>
      </c>
      <c r="BY42" s="112">
        <f t="shared" si="86"/>
        <v>0</v>
      </c>
      <c r="BZ42" s="112" t="str">
        <f t="shared" si="47"/>
        <v/>
      </c>
      <c r="CA42" s="112" t="str">
        <f t="shared" si="48"/>
        <v/>
      </c>
      <c r="CB42" s="111" t="str">
        <f t="shared" si="49"/>
        <v/>
      </c>
      <c r="CC42" s="111" t="str">
        <f t="shared" si="50"/>
        <v/>
      </c>
    </row>
    <row r="43" spans="1:81" ht="12.75" customHeight="1" x14ac:dyDescent="0.2">
      <c r="A43" s="53" t="str">
        <f t="shared" si="82"/>
        <v>Sat</v>
      </c>
      <c r="B43" s="54" t="str">
        <f t="shared" si="81"/>
        <v>May 16, 2020</v>
      </c>
      <c r="C43" s="55">
        <f>TIME(23,20,0)+gmt_delta</f>
        <v>1.5138888888888888</v>
      </c>
      <c r="D43" s="86" t="str">
        <f>W13</f>
        <v>Denmark</v>
      </c>
      <c r="E43" s="28"/>
      <c r="F43" s="23"/>
      <c r="G43" s="29"/>
      <c r="H43" s="89" t="str">
        <f>W14</f>
        <v>Belarus</v>
      </c>
      <c r="I43" s="58" t="str">
        <f>INDEX(T,17,lang)</f>
        <v>Lausanne Arena</v>
      </c>
      <c r="T43" s="111">
        <f t="shared" si="83"/>
        <v>43967.513888888891</v>
      </c>
      <c r="AG43" s="111"/>
      <c r="AH43" s="111"/>
      <c r="AI43" s="111"/>
      <c r="AJ43" s="111"/>
      <c r="AK43" s="111"/>
      <c r="AL43" s="111"/>
      <c r="BH43" s="112" t="str">
        <f t="shared" si="35"/>
        <v/>
      </c>
      <c r="BI43" s="112" t="str">
        <f t="shared" si="36"/>
        <v/>
      </c>
      <c r="BJ43" s="111" t="str">
        <f t="shared" si="37"/>
        <v/>
      </c>
      <c r="BK43" s="111" t="str">
        <f t="shared" si="38"/>
        <v/>
      </c>
      <c r="BM43" s="112">
        <f t="shared" si="84"/>
        <v>0</v>
      </c>
      <c r="BN43" s="112" t="str">
        <f t="shared" si="39"/>
        <v/>
      </c>
      <c r="BO43" s="112" t="str">
        <f t="shared" si="40"/>
        <v/>
      </c>
      <c r="BP43" s="111" t="str">
        <f t="shared" si="41"/>
        <v/>
      </c>
      <c r="BQ43" s="111" t="str">
        <f t="shared" si="42"/>
        <v/>
      </c>
      <c r="BS43" s="112">
        <f t="shared" si="85"/>
        <v>0</v>
      </c>
      <c r="BT43" s="112" t="str">
        <f t="shared" si="43"/>
        <v/>
      </c>
      <c r="BU43" s="112" t="str">
        <f t="shared" si="44"/>
        <v/>
      </c>
      <c r="BV43" s="111" t="str">
        <f t="shared" si="45"/>
        <v/>
      </c>
      <c r="BW43" s="111" t="str">
        <f t="shared" si="46"/>
        <v/>
      </c>
      <c r="BY43" s="112">
        <f t="shared" si="86"/>
        <v>1</v>
      </c>
      <c r="BZ43" s="112" t="str">
        <f t="shared" si="47"/>
        <v/>
      </c>
      <c r="CA43" s="112" t="str">
        <f t="shared" si="48"/>
        <v/>
      </c>
      <c r="CB43" s="111" t="str">
        <f t="shared" si="49"/>
        <v/>
      </c>
      <c r="CC43" s="111" t="str">
        <f t="shared" si="50"/>
        <v/>
      </c>
    </row>
    <row r="44" spans="1:81" ht="12.75" customHeight="1" x14ac:dyDescent="0.2">
      <c r="A44" s="53" t="str">
        <f t="shared" si="82"/>
        <v>Sat</v>
      </c>
      <c r="B44" s="54" t="str">
        <f t="shared" si="81"/>
        <v>May 16, 2020</v>
      </c>
      <c r="C44" s="55">
        <f>TIME(23,20,0)+gmt_delta</f>
        <v>1.5138888888888888</v>
      </c>
      <c r="D44" s="86" t="str">
        <f>W22</f>
        <v>Latvia</v>
      </c>
      <c r="E44" s="28"/>
      <c r="F44" s="23"/>
      <c r="G44" s="29"/>
      <c r="H44" s="89" t="str">
        <f>W20</f>
        <v>United States</v>
      </c>
      <c r="I44" s="58" t="str">
        <f>INDEX(T,18,lang)</f>
        <v>Hallenstadion</v>
      </c>
      <c r="T44" s="111">
        <f t="shared" si="83"/>
        <v>43967.513888888891</v>
      </c>
      <c r="AG44" s="111"/>
      <c r="AH44" s="111"/>
      <c r="AI44" s="111"/>
      <c r="AJ44" s="111"/>
      <c r="AK44" s="111"/>
      <c r="AL44" s="111"/>
      <c r="BH44" s="112" t="str">
        <f t="shared" si="35"/>
        <v/>
      </c>
      <c r="BI44" s="112" t="str">
        <f t="shared" si="36"/>
        <v/>
      </c>
      <c r="BJ44" s="111" t="str">
        <f t="shared" si="37"/>
        <v/>
      </c>
      <c r="BK44" s="111" t="str">
        <f t="shared" si="38"/>
        <v/>
      </c>
      <c r="BM44" s="112">
        <f t="shared" si="84"/>
        <v>0</v>
      </c>
      <c r="BN44" s="112" t="str">
        <f t="shared" si="39"/>
        <v/>
      </c>
      <c r="BO44" s="112" t="str">
        <f t="shared" si="40"/>
        <v/>
      </c>
      <c r="BP44" s="111" t="str">
        <f t="shared" si="41"/>
        <v/>
      </c>
      <c r="BQ44" s="111" t="str">
        <f t="shared" si="42"/>
        <v/>
      </c>
      <c r="BS44" s="112">
        <f t="shared" si="85"/>
        <v>0</v>
      </c>
      <c r="BT44" s="112" t="str">
        <f t="shared" si="43"/>
        <v/>
      </c>
      <c r="BU44" s="112" t="str">
        <f t="shared" si="44"/>
        <v/>
      </c>
      <c r="BV44" s="111" t="str">
        <f t="shared" si="45"/>
        <v/>
      </c>
      <c r="BW44" s="111" t="str">
        <f t="shared" si="46"/>
        <v/>
      </c>
      <c r="BY44" s="112">
        <f t="shared" si="86"/>
        <v>1</v>
      </c>
      <c r="BZ44" s="112" t="str">
        <f t="shared" si="47"/>
        <v/>
      </c>
      <c r="CA44" s="112" t="str">
        <f t="shared" si="48"/>
        <v/>
      </c>
      <c r="CB44" s="111" t="str">
        <f t="shared" si="49"/>
        <v/>
      </c>
      <c r="CC44" s="111" t="str">
        <f t="shared" si="50"/>
        <v/>
      </c>
    </row>
    <row r="45" spans="1:81" ht="12.75" customHeight="1" x14ac:dyDescent="0.2">
      <c r="A45" s="53" t="str">
        <f t="shared" si="82"/>
        <v>Sat</v>
      </c>
      <c r="B45" s="54" t="str">
        <f t="shared" si="81"/>
        <v>May 16, 2020</v>
      </c>
      <c r="C45" s="55">
        <f>TIME(3,20,0)+gmt_delta</f>
        <v>0.68055555555555558</v>
      </c>
      <c r="D45" s="86" t="str">
        <f>W8</f>
        <v>Canada</v>
      </c>
      <c r="E45" s="28"/>
      <c r="F45" s="23"/>
      <c r="G45" s="29"/>
      <c r="H45" s="89" t="str">
        <f>W9</f>
        <v>Sweden</v>
      </c>
      <c r="I45" s="58" t="str">
        <f>INDEX(T,17,lang)</f>
        <v>Lausanne Arena</v>
      </c>
      <c r="T45" s="111">
        <f>DATE(2020,5,16)+C45</f>
        <v>43967.680555555555</v>
      </c>
      <c r="AG45" s="111"/>
      <c r="AH45" s="111"/>
      <c r="AI45" s="111"/>
      <c r="AJ45" s="111"/>
      <c r="AK45" s="111"/>
      <c r="AL45" s="111"/>
      <c r="BH45" s="112" t="str">
        <f t="shared" si="35"/>
        <v/>
      </c>
      <c r="BI45" s="112" t="str">
        <f t="shared" si="36"/>
        <v/>
      </c>
      <c r="BJ45" s="111" t="str">
        <f t="shared" si="37"/>
        <v/>
      </c>
      <c r="BK45" s="111" t="str">
        <f t="shared" si="38"/>
        <v/>
      </c>
      <c r="BM45" s="112">
        <f t="shared" si="84"/>
        <v>0</v>
      </c>
      <c r="BN45" s="112" t="str">
        <f t="shared" si="39"/>
        <v/>
      </c>
      <c r="BO45" s="112" t="str">
        <f t="shared" si="40"/>
        <v/>
      </c>
      <c r="BP45" s="111" t="str">
        <f t="shared" si="41"/>
        <v/>
      </c>
      <c r="BQ45" s="111" t="str">
        <f t="shared" si="42"/>
        <v/>
      </c>
      <c r="BS45" s="112">
        <f t="shared" si="85"/>
        <v>0</v>
      </c>
      <c r="BT45" s="112" t="str">
        <f t="shared" si="43"/>
        <v/>
      </c>
      <c r="BU45" s="112" t="str">
        <f t="shared" si="44"/>
        <v/>
      </c>
      <c r="BV45" s="111" t="str">
        <f t="shared" si="45"/>
        <v/>
      </c>
      <c r="BW45" s="111" t="str">
        <f t="shared" si="46"/>
        <v/>
      </c>
      <c r="BY45" s="112">
        <f t="shared" si="86"/>
        <v>1</v>
      </c>
      <c r="BZ45" s="112" t="str">
        <f t="shared" si="47"/>
        <v/>
      </c>
      <c r="CA45" s="112" t="str">
        <f t="shared" si="48"/>
        <v/>
      </c>
      <c r="CB45" s="111" t="str">
        <f t="shared" si="49"/>
        <v/>
      </c>
      <c r="CC45" s="111" t="str">
        <f t="shared" si="50"/>
        <v/>
      </c>
    </row>
    <row r="46" spans="1:81" ht="12.75" customHeight="1" x14ac:dyDescent="0.2">
      <c r="A46" s="53" t="str">
        <f t="shared" si="82"/>
        <v>Sat</v>
      </c>
      <c r="B46" s="54" t="str">
        <f t="shared" si="81"/>
        <v>May 16, 2020</v>
      </c>
      <c r="C46" s="55">
        <f>TIME(3,20,0)+gmt_delta</f>
        <v>0.68055555555555558</v>
      </c>
      <c r="D46" s="86" t="str">
        <f>W23</f>
        <v>Norway</v>
      </c>
      <c r="E46" s="28"/>
      <c r="F46" s="23"/>
      <c r="G46" s="29"/>
      <c r="H46" s="89" t="str">
        <f>W24</f>
        <v>Italy</v>
      </c>
      <c r="I46" s="58" t="str">
        <f>INDEX(T,18,lang)</f>
        <v>Hallenstadion</v>
      </c>
      <c r="T46" s="111">
        <f>DATE(2020,5,16)+C46</f>
        <v>43967.680555555555</v>
      </c>
      <c r="AH46" s="113"/>
      <c r="AI46" s="111"/>
      <c r="AJ46" s="113"/>
      <c r="AK46" s="111"/>
      <c r="AL46" s="111"/>
      <c r="BH46" s="112" t="str">
        <f t="shared" si="35"/>
        <v/>
      </c>
      <c r="BI46" s="112" t="str">
        <f t="shared" si="36"/>
        <v/>
      </c>
      <c r="BJ46" s="111" t="str">
        <f t="shared" si="37"/>
        <v/>
      </c>
      <c r="BK46" s="111" t="str">
        <f t="shared" si="38"/>
        <v/>
      </c>
      <c r="BM46" s="112">
        <f t="shared" si="84"/>
        <v>0</v>
      </c>
      <c r="BN46" s="112" t="str">
        <f t="shared" si="39"/>
        <v/>
      </c>
      <c r="BO46" s="112" t="str">
        <f t="shared" si="40"/>
        <v/>
      </c>
      <c r="BP46" s="111" t="str">
        <f t="shared" si="41"/>
        <v/>
      </c>
      <c r="BQ46" s="111" t="str">
        <f t="shared" si="42"/>
        <v/>
      </c>
      <c r="BS46" s="112">
        <f t="shared" si="85"/>
        <v>0</v>
      </c>
      <c r="BT46" s="112" t="str">
        <f t="shared" si="43"/>
        <v/>
      </c>
      <c r="BU46" s="112" t="str">
        <f t="shared" si="44"/>
        <v/>
      </c>
      <c r="BV46" s="111" t="str">
        <f t="shared" si="45"/>
        <v/>
      </c>
      <c r="BW46" s="111" t="str">
        <f t="shared" si="46"/>
        <v/>
      </c>
      <c r="BY46" s="112">
        <f t="shared" si="86"/>
        <v>1</v>
      </c>
      <c r="BZ46" s="112" t="str">
        <f t="shared" si="47"/>
        <v/>
      </c>
      <c r="CA46" s="112" t="str">
        <f t="shared" si="48"/>
        <v/>
      </c>
      <c r="CB46" s="111" t="str">
        <f t="shared" si="49"/>
        <v/>
      </c>
      <c r="CC46" s="111" t="str">
        <f t="shared" si="50"/>
        <v/>
      </c>
    </row>
    <row r="47" spans="1:81" ht="12.75" customHeight="1" x14ac:dyDescent="0.2">
      <c r="A47" s="53" t="str">
        <f t="shared" si="82"/>
        <v>Sat</v>
      </c>
      <c r="B47" s="54" t="str">
        <f t="shared" si="81"/>
        <v>May 16, 2020</v>
      </c>
      <c r="C47" s="55">
        <f>TIME(7,20,0)+gmt_delta</f>
        <v>0.8472222222222221</v>
      </c>
      <c r="D47" s="86" t="str">
        <f>W12</f>
        <v>Slovakia</v>
      </c>
      <c r="E47" s="28"/>
      <c r="F47" s="23"/>
      <c r="G47" s="29"/>
      <c r="H47" s="89" t="str">
        <f>W10</f>
        <v>Czech Republic</v>
      </c>
      <c r="I47" s="58" t="str">
        <f>INDEX(T,17,lang)</f>
        <v>Lausanne Arena</v>
      </c>
      <c r="T47" s="111">
        <f>DATE(2020,5,16)+C47</f>
        <v>43967.847222222219</v>
      </c>
      <c r="BH47" s="112" t="str">
        <f t="shared" si="35"/>
        <v/>
      </c>
      <c r="BI47" s="112" t="str">
        <f t="shared" si="36"/>
        <v/>
      </c>
      <c r="BJ47" s="111" t="str">
        <f t="shared" si="37"/>
        <v/>
      </c>
      <c r="BK47" s="111" t="str">
        <f t="shared" si="38"/>
        <v/>
      </c>
      <c r="BM47" s="112">
        <f t="shared" si="84"/>
        <v>0</v>
      </c>
      <c r="BN47" s="112" t="str">
        <f t="shared" si="39"/>
        <v/>
      </c>
      <c r="BO47" s="112" t="str">
        <f t="shared" si="40"/>
        <v/>
      </c>
      <c r="BP47" s="111" t="str">
        <f t="shared" si="41"/>
        <v/>
      </c>
      <c r="BQ47" s="111" t="str">
        <f t="shared" si="42"/>
        <v/>
      </c>
      <c r="BS47" s="112">
        <f t="shared" si="85"/>
        <v>0</v>
      </c>
      <c r="BT47" s="112" t="str">
        <f t="shared" si="43"/>
        <v/>
      </c>
      <c r="BU47" s="112" t="str">
        <f t="shared" si="44"/>
        <v/>
      </c>
      <c r="BV47" s="111" t="str">
        <f t="shared" si="45"/>
        <v/>
      </c>
      <c r="BW47" s="111" t="str">
        <f t="shared" si="46"/>
        <v/>
      </c>
      <c r="BY47" s="112">
        <f t="shared" si="86"/>
        <v>1</v>
      </c>
      <c r="BZ47" s="112" t="str">
        <f t="shared" si="47"/>
        <v/>
      </c>
      <c r="CA47" s="112" t="str">
        <f t="shared" si="48"/>
        <v/>
      </c>
      <c r="CB47" s="111" t="str">
        <f t="shared" si="49"/>
        <v/>
      </c>
      <c r="CC47" s="111" t="str">
        <f t="shared" si="50"/>
        <v/>
      </c>
    </row>
    <row r="48" spans="1:81" ht="12.75" customHeight="1" x14ac:dyDescent="0.2">
      <c r="A48" s="53" t="str">
        <f t="shared" si="82"/>
        <v>Sat</v>
      </c>
      <c r="B48" s="54" t="str">
        <f t="shared" si="81"/>
        <v>May 16, 2020</v>
      </c>
      <c r="C48" s="55">
        <f>TIME(7,20,0)+gmt_delta</f>
        <v>0.8472222222222221</v>
      </c>
      <c r="D48" s="86" t="str">
        <f>W18</f>
        <v>Russian Federation</v>
      </c>
      <c r="E48" s="28"/>
      <c r="F48" s="23"/>
      <c r="G48" s="29"/>
      <c r="H48" s="89" t="str">
        <f>W19</f>
        <v>Finland</v>
      </c>
      <c r="I48" s="58" t="str">
        <f>INDEX(T,18,lang)</f>
        <v>Hallenstadion</v>
      </c>
      <c r="T48" s="111">
        <f>DATE(2020,5,16)+C48</f>
        <v>43967.847222222219</v>
      </c>
      <c r="BH48" s="112" t="str">
        <f t="shared" si="35"/>
        <v/>
      </c>
      <c r="BI48" s="112" t="str">
        <f t="shared" si="36"/>
        <v/>
      </c>
      <c r="BJ48" s="111" t="str">
        <f t="shared" si="37"/>
        <v/>
      </c>
      <c r="BK48" s="111" t="str">
        <f t="shared" si="38"/>
        <v/>
      </c>
      <c r="BM48" s="112">
        <f t="shared" si="84"/>
        <v>0</v>
      </c>
      <c r="BN48" s="112" t="str">
        <f t="shared" si="39"/>
        <v/>
      </c>
      <c r="BO48" s="112" t="str">
        <f t="shared" si="40"/>
        <v/>
      </c>
      <c r="BP48" s="111" t="str">
        <f t="shared" si="41"/>
        <v/>
      </c>
      <c r="BQ48" s="111" t="str">
        <f t="shared" si="42"/>
        <v/>
      </c>
      <c r="BS48" s="112">
        <f t="shared" si="85"/>
        <v>0</v>
      </c>
      <c r="BT48" s="112" t="str">
        <f t="shared" si="43"/>
        <v/>
      </c>
      <c r="BU48" s="112" t="str">
        <f t="shared" si="44"/>
        <v/>
      </c>
      <c r="BV48" s="111" t="str">
        <f t="shared" si="45"/>
        <v/>
      </c>
      <c r="BW48" s="111" t="str">
        <f t="shared" si="46"/>
        <v/>
      </c>
      <c r="BY48" s="112">
        <f t="shared" si="86"/>
        <v>1</v>
      </c>
      <c r="BZ48" s="112" t="str">
        <f t="shared" si="47"/>
        <v/>
      </c>
      <c r="CA48" s="112" t="str">
        <f t="shared" si="48"/>
        <v/>
      </c>
      <c r="CB48" s="111" t="str">
        <f t="shared" si="49"/>
        <v/>
      </c>
      <c r="CC48" s="111" t="str">
        <f t="shared" si="50"/>
        <v/>
      </c>
    </row>
    <row r="49" spans="1:81" ht="12.75" customHeight="1" x14ac:dyDescent="0.2">
      <c r="A49" s="53" t="str">
        <f t="shared" si="82"/>
        <v>Sun</v>
      </c>
      <c r="B49" s="54" t="str">
        <f t="shared" si="81"/>
        <v>May 17, 2020</v>
      </c>
      <c r="C49" s="55">
        <f>TIME(3,20,0)+gmt_delta</f>
        <v>0.68055555555555558</v>
      </c>
      <c r="D49" s="86" t="str">
        <f>W9</f>
        <v>Sweden</v>
      </c>
      <c r="E49" s="28"/>
      <c r="F49" s="23"/>
      <c r="G49" s="29"/>
      <c r="H49" s="89" t="str">
        <f>W15</f>
        <v>Great Britain</v>
      </c>
      <c r="I49" s="58" t="str">
        <f>INDEX(T,17,lang)</f>
        <v>Lausanne Arena</v>
      </c>
      <c r="T49" s="111">
        <f>DATE(2020,5,17)+C49</f>
        <v>43968.680555555555</v>
      </c>
      <c r="AG49" s="111"/>
      <c r="AH49" s="111"/>
      <c r="AI49" s="111"/>
      <c r="AJ49" s="111"/>
      <c r="AK49" s="111"/>
      <c r="AL49" s="111"/>
      <c r="BH49" s="112" t="str">
        <f t="shared" si="35"/>
        <v/>
      </c>
      <c r="BI49" s="112" t="str">
        <f t="shared" si="36"/>
        <v/>
      </c>
      <c r="BJ49" s="111" t="str">
        <f t="shared" si="37"/>
        <v/>
      </c>
      <c r="BK49" s="111" t="str">
        <f t="shared" si="38"/>
        <v/>
      </c>
      <c r="BM49" s="112">
        <f t="shared" si="84"/>
        <v>0</v>
      </c>
      <c r="BN49" s="112" t="str">
        <f t="shared" si="39"/>
        <v/>
      </c>
      <c r="BO49" s="112" t="str">
        <f t="shared" si="40"/>
        <v/>
      </c>
      <c r="BP49" s="111" t="str">
        <f t="shared" si="41"/>
        <v/>
      </c>
      <c r="BQ49" s="111" t="str">
        <f t="shared" si="42"/>
        <v/>
      </c>
      <c r="BS49" s="112">
        <f t="shared" si="85"/>
        <v>0</v>
      </c>
      <c r="BT49" s="112" t="str">
        <f t="shared" si="43"/>
        <v/>
      </c>
      <c r="BU49" s="112" t="str">
        <f t="shared" si="44"/>
        <v/>
      </c>
      <c r="BV49" s="111" t="str">
        <f t="shared" si="45"/>
        <v/>
      </c>
      <c r="BW49" s="111" t="str">
        <f t="shared" si="46"/>
        <v/>
      </c>
      <c r="BY49" s="112">
        <f t="shared" si="86"/>
        <v>1</v>
      </c>
      <c r="BZ49" s="112" t="str">
        <f t="shared" si="47"/>
        <v/>
      </c>
      <c r="CA49" s="112" t="str">
        <f t="shared" si="48"/>
        <v/>
      </c>
      <c r="CB49" s="111" t="str">
        <f t="shared" si="49"/>
        <v/>
      </c>
      <c r="CC49" s="111" t="str">
        <f t="shared" si="50"/>
        <v/>
      </c>
    </row>
    <row r="50" spans="1:81" x14ac:dyDescent="0.2">
      <c r="A50" s="53" t="str">
        <f t="shared" si="82"/>
        <v>Sun</v>
      </c>
      <c r="B50" s="54" t="str">
        <f t="shared" si="81"/>
        <v>May 17, 2020</v>
      </c>
      <c r="C50" s="55">
        <f>TIME(3,20,0)+gmt_delta</f>
        <v>0.68055555555555558</v>
      </c>
      <c r="D50" s="86" t="str">
        <f>W19</f>
        <v>Finland</v>
      </c>
      <c r="E50" s="28"/>
      <c r="F50" s="23"/>
      <c r="G50" s="29"/>
      <c r="H50" s="89" t="str">
        <f>W25</f>
        <v>Kazakhstan</v>
      </c>
      <c r="I50" s="58" t="str">
        <f>INDEX(T,18,lang)</f>
        <v>Hallenstadion</v>
      </c>
      <c r="T50" s="111">
        <f>DATE(2020,5,17)+C50</f>
        <v>43968.680555555555</v>
      </c>
      <c r="AG50" s="111"/>
      <c r="AH50" s="111"/>
      <c r="AI50" s="111"/>
      <c r="AJ50" s="111"/>
      <c r="AK50" s="111"/>
      <c r="AL50" s="111"/>
      <c r="BH50" s="112" t="str">
        <f t="shared" si="35"/>
        <v/>
      </c>
      <c r="BI50" s="112" t="str">
        <f t="shared" si="36"/>
        <v/>
      </c>
      <c r="BJ50" s="111" t="str">
        <f t="shared" si="37"/>
        <v/>
      </c>
      <c r="BK50" s="111" t="str">
        <f t="shared" si="38"/>
        <v/>
      </c>
      <c r="BM50" s="112">
        <f t="shared" si="84"/>
        <v>0</v>
      </c>
      <c r="BN50" s="112" t="str">
        <f t="shared" si="39"/>
        <v/>
      </c>
      <c r="BO50" s="112" t="str">
        <f t="shared" si="40"/>
        <v/>
      </c>
      <c r="BP50" s="111" t="str">
        <f t="shared" si="41"/>
        <v/>
      </c>
      <c r="BQ50" s="111" t="str">
        <f t="shared" si="42"/>
        <v/>
      </c>
      <c r="BS50" s="112">
        <f t="shared" si="85"/>
        <v>0</v>
      </c>
      <c r="BT50" s="112" t="str">
        <f t="shared" si="43"/>
        <v/>
      </c>
      <c r="BU50" s="112" t="str">
        <f t="shared" si="44"/>
        <v/>
      </c>
      <c r="BV50" s="111" t="str">
        <f t="shared" si="45"/>
        <v/>
      </c>
      <c r="BW50" s="111" t="str">
        <f t="shared" si="46"/>
        <v/>
      </c>
      <c r="BY50" s="112">
        <f t="shared" si="86"/>
        <v>1</v>
      </c>
      <c r="BZ50" s="112" t="str">
        <f t="shared" si="47"/>
        <v/>
      </c>
      <c r="CA50" s="112" t="str">
        <f t="shared" si="48"/>
        <v/>
      </c>
      <c r="CB50" s="111" t="str">
        <f t="shared" si="49"/>
        <v/>
      </c>
      <c r="CC50" s="111" t="str">
        <f t="shared" si="50"/>
        <v/>
      </c>
    </row>
    <row r="51" spans="1:81" x14ac:dyDescent="0.2">
      <c r="A51" s="53" t="str">
        <f t="shared" si="82"/>
        <v>Sun</v>
      </c>
      <c r="B51" s="54" t="str">
        <f t="shared" si="81"/>
        <v>May 17, 2020</v>
      </c>
      <c r="C51" s="55">
        <f>TIME(7,20,0)+gmt_delta</f>
        <v>0.8472222222222221</v>
      </c>
      <c r="D51" s="86" t="str">
        <f>W11</f>
        <v>Germany</v>
      </c>
      <c r="E51" s="28"/>
      <c r="F51" s="23"/>
      <c r="G51" s="29"/>
      <c r="H51" s="89" t="str">
        <f>W12</f>
        <v>Slovakia</v>
      </c>
      <c r="I51" s="58" t="str">
        <f>INDEX(T,17,lang)</f>
        <v>Lausanne Arena</v>
      </c>
      <c r="T51" s="111">
        <f>DATE(2020,5,17)+C51</f>
        <v>43968.847222222219</v>
      </c>
      <c r="AG51" s="111"/>
      <c r="AH51" s="111"/>
      <c r="AI51" s="111"/>
      <c r="AJ51" s="111"/>
      <c r="AK51" s="111"/>
      <c r="AL51" s="111"/>
      <c r="BH51" s="112" t="str">
        <f t="shared" si="35"/>
        <v/>
      </c>
      <c r="BI51" s="112" t="str">
        <f t="shared" si="36"/>
        <v/>
      </c>
      <c r="BJ51" s="111" t="str">
        <f t="shared" si="37"/>
        <v/>
      </c>
      <c r="BK51" s="111" t="str">
        <f t="shared" si="38"/>
        <v/>
      </c>
      <c r="BM51" s="112">
        <f t="shared" si="84"/>
        <v>0</v>
      </c>
      <c r="BN51" s="112" t="str">
        <f t="shared" si="39"/>
        <v/>
      </c>
      <c r="BO51" s="112" t="str">
        <f t="shared" si="40"/>
        <v/>
      </c>
      <c r="BP51" s="111" t="str">
        <f t="shared" si="41"/>
        <v/>
      </c>
      <c r="BQ51" s="111" t="str">
        <f t="shared" si="42"/>
        <v/>
      </c>
      <c r="BS51" s="112">
        <f t="shared" si="85"/>
        <v>0</v>
      </c>
      <c r="BT51" s="112" t="str">
        <f t="shared" si="43"/>
        <v/>
      </c>
      <c r="BU51" s="112" t="str">
        <f t="shared" si="44"/>
        <v/>
      </c>
      <c r="BV51" s="111" t="str">
        <f t="shared" si="45"/>
        <v/>
      </c>
      <c r="BW51" s="111" t="str">
        <f t="shared" si="46"/>
        <v/>
      </c>
      <c r="BY51" s="112">
        <f t="shared" si="86"/>
        <v>0</v>
      </c>
      <c r="BZ51" s="112" t="str">
        <f t="shared" si="47"/>
        <v/>
      </c>
      <c r="CA51" s="112" t="str">
        <f t="shared" si="48"/>
        <v/>
      </c>
      <c r="CB51" s="111" t="str">
        <f t="shared" si="49"/>
        <v/>
      </c>
      <c r="CC51" s="111" t="str">
        <f t="shared" si="50"/>
        <v/>
      </c>
    </row>
    <row r="52" spans="1:81" x14ac:dyDescent="0.2">
      <c r="A52" s="53" t="str">
        <f t="shared" si="82"/>
        <v>Sun</v>
      </c>
      <c r="B52" s="54" t="str">
        <f t="shared" si="81"/>
        <v>May 17, 2020</v>
      </c>
      <c r="C52" s="55">
        <f>TIME(7,20,0)+gmt_delta</f>
        <v>0.8472222222222221</v>
      </c>
      <c r="D52" s="86" t="str">
        <f>W21</f>
        <v>Switzerland</v>
      </c>
      <c r="E52" s="28"/>
      <c r="F52" s="23"/>
      <c r="G52" s="29"/>
      <c r="H52" s="89" t="str">
        <f>W22</f>
        <v>Latvia</v>
      </c>
      <c r="I52" s="58" t="str">
        <f>INDEX(T,18,lang)</f>
        <v>Hallenstadion</v>
      </c>
      <c r="T52" s="111">
        <f>DATE(2020,5,17)+C52</f>
        <v>43968.847222222219</v>
      </c>
      <c r="AG52" s="111"/>
      <c r="AH52" s="111"/>
      <c r="AI52" s="111"/>
      <c r="AJ52" s="111"/>
      <c r="AK52" s="111"/>
      <c r="AL52" s="111"/>
      <c r="BH52" s="112" t="str">
        <f t="shared" si="35"/>
        <v/>
      </c>
      <c r="BI52" s="112" t="str">
        <f t="shared" si="36"/>
        <v/>
      </c>
      <c r="BJ52" s="111" t="str">
        <f t="shared" si="37"/>
        <v/>
      </c>
      <c r="BK52" s="111" t="str">
        <f t="shared" si="38"/>
        <v/>
      </c>
      <c r="BM52" s="112">
        <f t="shared" si="84"/>
        <v>0</v>
      </c>
      <c r="BN52" s="112" t="str">
        <f t="shared" si="39"/>
        <v/>
      </c>
      <c r="BO52" s="112" t="str">
        <f t="shared" si="40"/>
        <v/>
      </c>
      <c r="BP52" s="111" t="str">
        <f t="shared" si="41"/>
        <v/>
      </c>
      <c r="BQ52" s="111" t="str">
        <f t="shared" si="42"/>
        <v/>
      </c>
      <c r="BS52" s="112">
        <f t="shared" si="85"/>
        <v>0</v>
      </c>
      <c r="BT52" s="112" t="str">
        <f t="shared" si="43"/>
        <v/>
      </c>
      <c r="BU52" s="112" t="str">
        <f t="shared" si="44"/>
        <v/>
      </c>
      <c r="BV52" s="111" t="str">
        <f t="shared" si="45"/>
        <v/>
      </c>
      <c r="BW52" s="111" t="str">
        <f t="shared" si="46"/>
        <v/>
      </c>
      <c r="BY52" s="112">
        <f t="shared" si="86"/>
        <v>0</v>
      </c>
      <c r="BZ52" s="112" t="str">
        <f t="shared" si="47"/>
        <v/>
      </c>
      <c r="CA52" s="112" t="str">
        <f t="shared" si="48"/>
        <v/>
      </c>
      <c r="CB52" s="111" t="str">
        <f t="shared" si="49"/>
        <v/>
      </c>
      <c r="CC52" s="111" t="str">
        <f t="shared" si="50"/>
        <v/>
      </c>
    </row>
    <row r="53" spans="1:81" x14ac:dyDescent="0.2">
      <c r="A53" s="53" t="str">
        <f t="shared" si="82"/>
        <v>Mon</v>
      </c>
      <c r="B53" s="54" t="str">
        <f t="shared" si="81"/>
        <v>May 18, 2020</v>
      </c>
      <c r="C53" s="55">
        <f>TIME(3,20,0)+gmt_delta</f>
        <v>0.68055555555555558</v>
      </c>
      <c r="D53" s="86" t="str">
        <f>W14</f>
        <v>Belarus</v>
      </c>
      <c r="E53" s="28"/>
      <c r="F53" s="23"/>
      <c r="G53" s="29"/>
      <c r="H53" s="89" t="str">
        <f>W15</f>
        <v>Great Britain</v>
      </c>
      <c r="I53" s="58" t="str">
        <f>INDEX(T,17,lang)</f>
        <v>Lausanne Arena</v>
      </c>
      <c r="T53" s="111">
        <f>DATE(2020,5,18)+C53</f>
        <v>43969.680555555555</v>
      </c>
      <c r="AH53" s="113">
        <f>IF(MAX(AH49:AH52)=0,-1,MAX(AH49:AH52))</f>
        <v>-1</v>
      </c>
      <c r="AI53" s="111"/>
      <c r="AJ53" s="113">
        <f>IF(MAX(AJ49:AJ52)=0,-1,MAX(AJ49:AJ52))</f>
        <v>-1</v>
      </c>
      <c r="AK53" s="111"/>
      <c r="AL53" s="111"/>
      <c r="BH53" s="112" t="str">
        <f t="shared" si="35"/>
        <v/>
      </c>
      <c r="BI53" s="112" t="str">
        <f t="shared" si="36"/>
        <v/>
      </c>
      <c r="BJ53" s="111" t="str">
        <f t="shared" si="37"/>
        <v/>
      </c>
      <c r="BK53" s="111" t="str">
        <f t="shared" si="38"/>
        <v/>
      </c>
      <c r="BM53" s="112">
        <f t="shared" si="84"/>
        <v>0</v>
      </c>
      <c r="BN53" s="112" t="str">
        <f t="shared" si="39"/>
        <v/>
      </c>
      <c r="BO53" s="112" t="str">
        <f t="shared" si="40"/>
        <v/>
      </c>
      <c r="BP53" s="111" t="str">
        <f t="shared" si="41"/>
        <v/>
      </c>
      <c r="BQ53" s="111" t="str">
        <f t="shared" si="42"/>
        <v/>
      </c>
      <c r="BS53" s="112">
        <f t="shared" si="85"/>
        <v>0</v>
      </c>
      <c r="BT53" s="112" t="str">
        <f t="shared" si="43"/>
        <v/>
      </c>
      <c r="BU53" s="112" t="str">
        <f t="shared" si="44"/>
        <v/>
      </c>
      <c r="BV53" s="111" t="str">
        <f t="shared" si="45"/>
        <v/>
      </c>
      <c r="BW53" s="111" t="str">
        <f t="shared" si="46"/>
        <v/>
      </c>
      <c r="BY53" s="112">
        <f t="shared" si="86"/>
        <v>1</v>
      </c>
      <c r="BZ53" s="112" t="str">
        <f t="shared" si="47"/>
        <v/>
      </c>
      <c r="CA53" s="112" t="str">
        <f t="shared" si="48"/>
        <v/>
      </c>
      <c r="CB53" s="111" t="str">
        <f t="shared" si="49"/>
        <v/>
      </c>
      <c r="CC53" s="111" t="str">
        <f t="shared" si="50"/>
        <v/>
      </c>
    </row>
    <row r="54" spans="1:81" x14ac:dyDescent="0.2">
      <c r="A54" s="53" t="str">
        <f t="shared" si="82"/>
        <v>Mon</v>
      </c>
      <c r="B54" s="54" t="str">
        <f t="shared" si="81"/>
        <v>May 18, 2020</v>
      </c>
      <c r="C54" s="55">
        <f>TIME(3,20,0)+gmt_delta</f>
        <v>0.68055555555555558</v>
      </c>
      <c r="D54" s="86" t="str">
        <f>W24</f>
        <v>Italy</v>
      </c>
      <c r="E54" s="28"/>
      <c r="F54" s="23"/>
      <c r="G54" s="29"/>
      <c r="H54" s="89" t="str">
        <f>W25</f>
        <v>Kazakhstan</v>
      </c>
      <c r="I54" s="58" t="str">
        <f>INDEX(T,18,lang)</f>
        <v>Hallenstadion</v>
      </c>
      <c r="T54" s="111">
        <f>DATE(2020,5,18)+C54</f>
        <v>43969.680555555555</v>
      </c>
      <c r="BH54" s="112" t="str">
        <f t="shared" si="35"/>
        <v/>
      </c>
      <c r="BI54" s="112" t="str">
        <f t="shared" si="36"/>
        <v/>
      </c>
      <c r="BJ54" s="111" t="str">
        <f t="shared" si="37"/>
        <v/>
      </c>
      <c r="BK54" s="111" t="str">
        <f t="shared" si="38"/>
        <v/>
      </c>
      <c r="BM54" s="112">
        <f t="shared" si="84"/>
        <v>0</v>
      </c>
      <c r="BN54" s="112" t="str">
        <f t="shared" si="39"/>
        <v/>
      </c>
      <c r="BO54" s="112" t="str">
        <f t="shared" si="40"/>
        <v/>
      </c>
      <c r="BP54" s="111" t="str">
        <f t="shared" si="41"/>
        <v/>
      </c>
      <c r="BQ54" s="111" t="str">
        <f t="shared" si="42"/>
        <v/>
      </c>
      <c r="BS54" s="112">
        <f t="shared" si="85"/>
        <v>0</v>
      </c>
      <c r="BT54" s="112" t="str">
        <f t="shared" si="43"/>
        <v/>
      </c>
      <c r="BU54" s="112" t="str">
        <f t="shared" si="44"/>
        <v/>
      </c>
      <c r="BV54" s="111" t="str">
        <f t="shared" si="45"/>
        <v/>
      </c>
      <c r="BW54" s="111" t="str">
        <f t="shared" si="46"/>
        <v/>
      </c>
      <c r="BY54" s="112">
        <f t="shared" si="86"/>
        <v>1</v>
      </c>
      <c r="BZ54" s="112" t="str">
        <f t="shared" si="47"/>
        <v/>
      </c>
      <c r="CA54" s="112" t="str">
        <f t="shared" si="48"/>
        <v/>
      </c>
      <c r="CB54" s="111" t="str">
        <f t="shared" si="49"/>
        <v/>
      </c>
      <c r="CC54" s="111" t="str">
        <f t="shared" si="50"/>
        <v/>
      </c>
    </row>
    <row r="55" spans="1:81" x14ac:dyDescent="0.2">
      <c r="A55" s="53" t="str">
        <f t="shared" si="82"/>
        <v>Mon</v>
      </c>
      <c r="B55" s="54" t="str">
        <f t="shared" si="81"/>
        <v>May 18, 2020</v>
      </c>
      <c r="C55" s="55">
        <f>TIME(7,20,0)+gmt_delta</f>
        <v>0.8472222222222221</v>
      </c>
      <c r="D55" s="86" t="str">
        <f>W10</f>
        <v>Czech Republic</v>
      </c>
      <c r="E55" s="28"/>
      <c r="F55" s="23"/>
      <c r="G55" s="29"/>
      <c r="H55" s="89" t="str">
        <f>W13</f>
        <v>Denmark</v>
      </c>
      <c r="I55" s="58" t="str">
        <f>INDEX(T,17,lang)</f>
        <v>Lausanne Arena</v>
      </c>
      <c r="T55" s="111">
        <f>DATE(2020,5,18)+C55</f>
        <v>43969.847222222219</v>
      </c>
      <c r="BH55" s="112" t="str">
        <f t="shared" si="35"/>
        <v/>
      </c>
      <c r="BI55" s="112" t="str">
        <f t="shared" si="36"/>
        <v/>
      </c>
      <c r="BJ55" s="111" t="str">
        <f t="shared" si="37"/>
        <v/>
      </c>
      <c r="BK55" s="111" t="str">
        <f t="shared" si="38"/>
        <v/>
      </c>
      <c r="BM55" s="112">
        <f t="shared" si="84"/>
        <v>0</v>
      </c>
      <c r="BN55" s="112" t="str">
        <f t="shared" si="39"/>
        <v/>
      </c>
      <c r="BO55" s="112" t="str">
        <f t="shared" si="40"/>
        <v/>
      </c>
      <c r="BP55" s="111" t="str">
        <f t="shared" si="41"/>
        <v/>
      </c>
      <c r="BQ55" s="111" t="str">
        <f t="shared" si="42"/>
        <v/>
      </c>
      <c r="BS55" s="112">
        <f t="shared" si="85"/>
        <v>0</v>
      </c>
      <c r="BT55" s="112" t="str">
        <f t="shared" si="43"/>
        <v/>
      </c>
      <c r="BU55" s="112" t="str">
        <f t="shared" si="44"/>
        <v/>
      </c>
      <c r="BV55" s="111" t="str">
        <f t="shared" si="45"/>
        <v/>
      </c>
      <c r="BW55" s="111" t="str">
        <f t="shared" si="46"/>
        <v/>
      </c>
      <c r="BY55" s="112">
        <f t="shared" si="86"/>
        <v>1</v>
      </c>
      <c r="BZ55" s="112" t="str">
        <f t="shared" si="47"/>
        <v/>
      </c>
      <c r="CA55" s="112" t="str">
        <f t="shared" si="48"/>
        <v/>
      </c>
      <c r="CB55" s="111" t="str">
        <f t="shared" si="49"/>
        <v/>
      </c>
      <c r="CC55" s="111" t="str">
        <f t="shared" si="50"/>
        <v/>
      </c>
    </row>
    <row r="56" spans="1:81" x14ac:dyDescent="0.2">
      <c r="A56" s="53" t="str">
        <f t="shared" si="82"/>
        <v>Mon</v>
      </c>
      <c r="B56" s="54" t="str">
        <f t="shared" si="81"/>
        <v>May 18, 2020</v>
      </c>
      <c r="C56" s="55">
        <f>TIME(7,20,0)+gmt_delta</f>
        <v>0.8472222222222221</v>
      </c>
      <c r="D56" s="86" t="str">
        <f>W20</f>
        <v>United States</v>
      </c>
      <c r="E56" s="28"/>
      <c r="F56" s="23"/>
      <c r="G56" s="29"/>
      <c r="H56" s="89" t="str">
        <f>W23</f>
        <v>Norway</v>
      </c>
      <c r="I56" s="58" t="str">
        <f>INDEX(T,18,lang)</f>
        <v>Hallenstadion</v>
      </c>
      <c r="T56" s="111">
        <f>DATE(2020,5,18)+C56</f>
        <v>43969.847222222219</v>
      </c>
      <c r="BH56" s="112" t="str">
        <f t="shared" si="35"/>
        <v/>
      </c>
      <c r="BI56" s="112" t="str">
        <f t="shared" si="36"/>
        <v/>
      </c>
      <c r="BJ56" s="111" t="str">
        <f t="shared" si="37"/>
        <v/>
      </c>
      <c r="BK56" s="111" t="str">
        <f t="shared" si="38"/>
        <v/>
      </c>
      <c r="BM56" s="112">
        <f t="shared" si="84"/>
        <v>0</v>
      </c>
      <c r="BN56" s="112" t="str">
        <f t="shared" si="39"/>
        <v/>
      </c>
      <c r="BO56" s="112" t="str">
        <f t="shared" si="40"/>
        <v/>
      </c>
      <c r="BP56" s="111" t="str">
        <f t="shared" si="41"/>
        <v/>
      </c>
      <c r="BQ56" s="111" t="str">
        <f t="shared" si="42"/>
        <v/>
      </c>
      <c r="BS56" s="112">
        <f t="shared" si="85"/>
        <v>0</v>
      </c>
      <c r="BT56" s="112" t="str">
        <f t="shared" si="43"/>
        <v/>
      </c>
      <c r="BU56" s="112" t="str">
        <f t="shared" si="44"/>
        <v/>
      </c>
      <c r="BV56" s="111" t="str">
        <f t="shared" si="45"/>
        <v/>
      </c>
      <c r="BW56" s="111" t="str">
        <f t="shared" si="46"/>
        <v/>
      </c>
      <c r="BY56" s="112">
        <f t="shared" si="86"/>
        <v>1</v>
      </c>
      <c r="BZ56" s="112" t="str">
        <f t="shared" si="47"/>
        <v/>
      </c>
      <c r="CA56" s="112" t="str">
        <f t="shared" si="48"/>
        <v/>
      </c>
      <c r="CB56" s="111" t="str">
        <f t="shared" si="49"/>
        <v/>
      </c>
      <c r="CC56" s="111" t="str">
        <f t="shared" si="50"/>
        <v/>
      </c>
    </row>
    <row r="57" spans="1:81" x14ac:dyDescent="0.2">
      <c r="A57" s="53" t="str">
        <f t="shared" si="82"/>
        <v>Mon</v>
      </c>
      <c r="B57" s="54" t="str">
        <f t="shared" si="81"/>
        <v>May 18, 2020</v>
      </c>
      <c r="C57" s="55">
        <f>TIME(23,20,0)+gmt_delta</f>
        <v>1.5138888888888888</v>
      </c>
      <c r="D57" s="86" t="str">
        <f>W12</f>
        <v>Slovakia</v>
      </c>
      <c r="E57" s="28"/>
      <c r="F57" s="23"/>
      <c r="G57" s="29"/>
      <c r="H57" s="89" t="str">
        <f>W8</f>
        <v>Canada</v>
      </c>
      <c r="I57" s="58" t="str">
        <f>INDEX(T,17,lang)</f>
        <v>Lausanne Arena</v>
      </c>
      <c r="T57" s="111">
        <f>DATE(2020,5,17)+C57</f>
        <v>43969.513888888891</v>
      </c>
      <c r="BF57" s="114" t="str">
        <f>IF(AND(ISNUMBER(E66),ISNUMBER(G66)),IF(E66&gt;G66,D66,IF(E66&lt;G66,H66,INDEX(T,55,lang))),INDEX(T,55,lang))</f>
        <v>Quarter Final 1 Winner</v>
      </c>
      <c r="BH57" s="112" t="str">
        <f t="shared" si="35"/>
        <v/>
      </c>
      <c r="BI57" s="112" t="str">
        <f t="shared" si="36"/>
        <v/>
      </c>
      <c r="BJ57" s="111" t="str">
        <f t="shared" si="37"/>
        <v/>
      </c>
      <c r="BK57" s="111" t="str">
        <f t="shared" si="38"/>
        <v/>
      </c>
      <c r="BM57" s="112">
        <f t="shared" si="84"/>
        <v>0</v>
      </c>
      <c r="BN57" s="112" t="str">
        <f t="shared" si="39"/>
        <v/>
      </c>
      <c r="BO57" s="112" t="str">
        <f t="shared" si="40"/>
        <v/>
      </c>
      <c r="BP57" s="111" t="str">
        <f t="shared" si="41"/>
        <v/>
      </c>
      <c r="BQ57" s="111" t="str">
        <f t="shared" si="42"/>
        <v/>
      </c>
      <c r="BS57" s="112">
        <f t="shared" si="85"/>
        <v>0</v>
      </c>
      <c r="BT57" s="112" t="str">
        <f t="shared" si="43"/>
        <v/>
      </c>
      <c r="BU57" s="112" t="str">
        <f t="shared" si="44"/>
        <v/>
      </c>
      <c r="BV57" s="111" t="str">
        <f t="shared" si="45"/>
        <v/>
      </c>
      <c r="BW57" s="111" t="str">
        <f t="shared" si="46"/>
        <v/>
      </c>
      <c r="BY57" s="112">
        <f t="shared" si="86"/>
        <v>1</v>
      </c>
      <c r="BZ57" s="112" t="str">
        <f t="shared" si="47"/>
        <v/>
      </c>
      <c r="CA57" s="112" t="str">
        <f t="shared" si="48"/>
        <v/>
      </c>
      <c r="CB57" s="111" t="str">
        <f t="shared" si="49"/>
        <v/>
      </c>
      <c r="CC57" s="111" t="str">
        <f t="shared" si="50"/>
        <v/>
      </c>
    </row>
    <row r="58" spans="1:81" ht="12.75" customHeight="1" x14ac:dyDescent="0.2">
      <c r="A58" s="53" t="str">
        <f t="shared" si="82"/>
        <v>Mon</v>
      </c>
      <c r="B58" s="54" t="str">
        <f>INDEX(T,25+MONTH(T58),lang) &amp; " " &amp; DAY(T58) &amp; ", " &amp; YEAR(T58)</f>
        <v>May 18, 2020</v>
      </c>
      <c r="C58" s="55">
        <f>TIME(23,20,0)+gmt_delta</f>
        <v>1.5138888888888888</v>
      </c>
      <c r="D58" s="86" t="str">
        <f>W22</f>
        <v>Latvia</v>
      </c>
      <c r="E58" s="28"/>
      <c r="F58" s="23"/>
      <c r="G58" s="29"/>
      <c r="H58" s="89" t="str">
        <f>W18</f>
        <v>Russian Federation</v>
      </c>
      <c r="I58" s="58" t="str">
        <f>INDEX(T,18,lang)</f>
        <v>Hallenstadion</v>
      </c>
      <c r="T58" s="111">
        <f>DATE(2020,5,17)+C58</f>
        <v>43969.513888888891</v>
      </c>
      <c r="BF58" s="114" t="str">
        <f>IF(AND(ISNUMBER(E67),ISNUMBER(G67)),IF(E67&gt;G67,D67,IF(E67&lt;G67,H67,INDEX(T,56,lang))),INDEX(T,56,lang))</f>
        <v>Quarter Final 2 Winner</v>
      </c>
      <c r="BH58" s="112" t="str">
        <f t="shared" si="35"/>
        <v/>
      </c>
      <c r="BI58" s="112" t="str">
        <f t="shared" si="36"/>
        <v/>
      </c>
      <c r="BJ58" s="111" t="str">
        <f t="shared" si="37"/>
        <v/>
      </c>
      <c r="BK58" s="111" t="str">
        <f t="shared" si="38"/>
        <v/>
      </c>
      <c r="BM58" s="112">
        <f t="shared" si="84"/>
        <v>0</v>
      </c>
      <c r="BN58" s="112" t="str">
        <f t="shared" si="39"/>
        <v/>
      </c>
      <c r="BO58" s="112" t="str">
        <f t="shared" si="40"/>
        <v/>
      </c>
      <c r="BP58" s="111" t="str">
        <f t="shared" si="41"/>
        <v/>
      </c>
      <c r="BQ58" s="111" t="str">
        <f t="shared" si="42"/>
        <v/>
      </c>
      <c r="BS58" s="112">
        <f t="shared" si="85"/>
        <v>0</v>
      </c>
      <c r="BT58" s="112" t="str">
        <f t="shared" si="43"/>
        <v/>
      </c>
      <c r="BU58" s="112" t="str">
        <f t="shared" si="44"/>
        <v/>
      </c>
      <c r="BV58" s="111" t="str">
        <f t="shared" si="45"/>
        <v/>
      </c>
      <c r="BW58" s="111" t="str">
        <f t="shared" si="46"/>
        <v/>
      </c>
      <c r="BY58" s="112">
        <f t="shared" si="86"/>
        <v>1</v>
      </c>
      <c r="BZ58" s="112" t="str">
        <f t="shared" si="47"/>
        <v/>
      </c>
      <c r="CA58" s="112" t="str">
        <f t="shared" si="48"/>
        <v/>
      </c>
      <c r="CB58" s="111" t="str">
        <f t="shared" si="49"/>
        <v/>
      </c>
      <c r="CC58" s="111" t="str">
        <f t="shared" si="50"/>
        <v/>
      </c>
    </row>
    <row r="59" spans="1:81" ht="12.75" customHeight="1" x14ac:dyDescent="0.2">
      <c r="A59" s="53" t="str">
        <f t="shared" si="82"/>
        <v>Mon</v>
      </c>
      <c r="B59" s="54" t="str">
        <f>INDEX(T,25+MONTH(T59),lang) &amp; " " &amp; DAY(T59) &amp; ", " &amp; YEAR(T59)</f>
        <v>May 18, 2020</v>
      </c>
      <c r="C59" s="55">
        <f>TIME(3,20,0)+gmt_delta</f>
        <v>0.68055555555555558</v>
      </c>
      <c r="D59" s="86" t="str">
        <f>W10</f>
        <v>Czech Republic</v>
      </c>
      <c r="E59" s="28"/>
      <c r="F59" s="23"/>
      <c r="G59" s="29"/>
      <c r="H59" s="89" t="str">
        <f>W11</f>
        <v>Germany</v>
      </c>
      <c r="I59" s="58" t="str">
        <f>INDEX(T,17,lang)</f>
        <v>Lausanne Arena</v>
      </c>
      <c r="T59" s="111">
        <f>DATE(2020,5,18)+C59</f>
        <v>43969.680555555555</v>
      </c>
      <c r="BF59" s="114" t="str">
        <f>IF(AND(ISNUMBER(E68),ISNUMBER(G68)),IF(E68&gt;G68,D68,IF(E68&lt;G68,H68,INDEX(T,57,lang))),INDEX(T,57,lang))</f>
        <v>Quarter Final 3 Winner</v>
      </c>
      <c r="BH59" s="112" t="str">
        <f t="shared" si="35"/>
        <v/>
      </c>
      <c r="BI59" s="112" t="str">
        <f t="shared" si="36"/>
        <v/>
      </c>
      <c r="BJ59" s="111" t="str">
        <f t="shared" si="37"/>
        <v/>
      </c>
      <c r="BK59" s="111" t="str">
        <f t="shared" si="38"/>
        <v/>
      </c>
      <c r="BM59" s="112">
        <f t="shared" si="84"/>
        <v>0</v>
      </c>
      <c r="BN59" s="112" t="str">
        <f t="shared" si="39"/>
        <v/>
      </c>
      <c r="BO59" s="112" t="str">
        <f t="shared" si="40"/>
        <v/>
      </c>
      <c r="BP59" s="111" t="str">
        <f t="shared" si="41"/>
        <v/>
      </c>
      <c r="BQ59" s="111" t="str">
        <f t="shared" si="42"/>
        <v/>
      </c>
      <c r="BS59" s="112">
        <f t="shared" si="85"/>
        <v>0</v>
      </c>
      <c r="BT59" s="112" t="str">
        <f t="shared" si="43"/>
        <v/>
      </c>
      <c r="BU59" s="112" t="str">
        <f t="shared" si="44"/>
        <v/>
      </c>
      <c r="BV59" s="111" t="str">
        <f t="shared" si="45"/>
        <v/>
      </c>
      <c r="BW59" s="111" t="str">
        <f t="shared" si="46"/>
        <v/>
      </c>
      <c r="BY59" s="112">
        <f t="shared" si="86"/>
        <v>0</v>
      </c>
      <c r="BZ59" s="112" t="str">
        <f t="shared" si="47"/>
        <v/>
      </c>
      <c r="CA59" s="112" t="str">
        <f t="shared" si="48"/>
        <v/>
      </c>
      <c r="CB59" s="111" t="str">
        <f t="shared" si="49"/>
        <v/>
      </c>
      <c r="CC59" s="111" t="str">
        <f t="shared" si="50"/>
        <v/>
      </c>
    </row>
    <row r="60" spans="1:81" ht="12.75" customHeight="1" x14ac:dyDescent="0.2">
      <c r="A60" s="53" t="str">
        <f t="shared" si="82"/>
        <v>Mon</v>
      </c>
      <c r="B60" s="54" t="str">
        <f>INDEX(T,25+MONTH(T60),lang) &amp; " " &amp; DAY(T60) &amp; ", " &amp; YEAR(T60)</f>
        <v>May 18, 2020</v>
      </c>
      <c r="C60" s="55">
        <f>TIME(3,20,0)+gmt_delta</f>
        <v>0.68055555555555558</v>
      </c>
      <c r="D60" s="86" t="str">
        <f>W23</f>
        <v>Norway</v>
      </c>
      <c r="E60" s="28"/>
      <c r="F60" s="23"/>
      <c r="G60" s="29"/>
      <c r="H60" s="89" t="str">
        <f>W19</f>
        <v>Finland</v>
      </c>
      <c r="I60" s="58" t="str">
        <f>INDEX(T,18,lang)</f>
        <v>Hallenstadion</v>
      </c>
      <c r="T60" s="111">
        <f>DATE(2020,5,18)+C60</f>
        <v>43969.680555555555</v>
      </c>
      <c r="BF60" s="114" t="str">
        <f>IF(AND(ISNUMBER(E69),ISNUMBER(G69)),IF(E69&gt;G69,D69,IF(E69&lt;G69,H69,INDEX(T,58,lang))),INDEX(T,58,lang))</f>
        <v>Quarter Final 4 Winner</v>
      </c>
      <c r="BH60" s="112" t="str">
        <f t="shared" si="35"/>
        <v/>
      </c>
      <c r="BI60" s="112" t="str">
        <f t="shared" si="36"/>
        <v/>
      </c>
      <c r="BJ60" s="111" t="str">
        <f t="shared" si="37"/>
        <v/>
      </c>
      <c r="BK60" s="111" t="str">
        <f t="shared" si="38"/>
        <v/>
      </c>
      <c r="BM60" s="112">
        <f t="shared" si="84"/>
        <v>0</v>
      </c>
      <c r="BN60" s="112" t="str">
        <f t="shared" si="39"/>
        <v/>
      </c>
      <c r="BO60" s="112" t="str">
        <f t="shared" si="40"/>
        <v/>
      </c>
      <c r="BP60" s="111" t="str">
        <f t="shared" si="41"/>
        <v/>
      </c>
      <c r="BQ60" s="111" t="str">
        <f t="shared" si="42"/>
        <v/>
      </c>
      <c r="BS60" s="112">
        <f t="shared" si="85"/>
        <v>0</v>
      </c>
      <c r="BT60" s="112" t="str">
        <f t="shared" si="43"/>
        <v/>
      </c>
      <c r="BU60" s="112" t="str">
        <f t="shared" si="44"/>
        <v/>
      </c>
      <c r="BV60" s="111" t="str">
        <f t="shared" si="45"/>
        <v/>
      </c>
      <c r="BW60" s="111" t="str">
        <f t="shared" si="46"/>
        <v/>
      </c>
      <c r="BY60" s="112">
        <f t="shared" si="86"/>
        <v>1</v>
      </c>
      <c r="BZ60" s="112" t="str">
        <f t="shared" si="47"/>
        <v/>
      </c>
      <c r="CA60" s="112" t="str">
        <f t="shared" si="48"/>
        <v/>
      </c>
      <c r="CB60" s="111" t="str">
        <f t="shared" si="49"/>
        <v/>
      </c>
      <c r="CC60" s="111" t="str">
        <f t="shared" si="50"/>
        <v/>
      </c>
    </row>
    <row r="61" spans="1:81" ht="12.75" customHeight="1" x14ac:dyDescent="0.2">
      <c r="A61" s="53" t="str">
        <f t="shared" si="82"/>
        <v>Mon</v>
      </c>
      <c r="B61" s="54" t="str">
        <f>INDEX(T,25+MONTH(T61),lang) &amp; " " &amp; DAY(T61) &amp; ", " &amp; YEAR(T61)</f>
        <v>May 18, 2020</v>
      </c>
      <c r="C61" s="55">
        <f>TIME(7,20,0)+gmt_delta</f>
        <v>0.8472222222222221</v>
      </c>
      <c r="D61" s="86" t="str">
        <f>W13</f>
        <v>Denmark</v>
      </c>
      <c r="E61" s="28"/>
      <c r="F61" s="23"/>
      <c r="G61" s="29"/>
      <c r="H61" s="89" t="str">
        <f>W9</f>
        <v>Sweden</v>
      </c>
      <c r="I61" s="58" t="str">
        <f>INDEX(T,17,lang)</f>
        <v>Lausanne Arena</v>
      </c>
      <c r="T61" s="111">
        <f>DATE(2020,5,18)+C61</f>
        <v>43969.847222222219</v>
      </c>
      <c r="BF61" s="114"/>
      <c r="BH61" s="112" t="str">
        <f t="shared" si="35"/>
        <v/>
      </c>
      <c r="BI61" s="112" t="str">
        <f t="shared" si="36"/>
        <v/>
      </c>
      <c r="BJ61" s="111" t="str">
        <f t="shared" si="37"/>
        <v/>
      </c>
      <c r="BK61" s="111" t="str">
        <f t="shared" si="38"/>
        <v/>
      </c>
      <c r="BM61" s="112">
        <f t="shared" si="84"/>
        <v>0</v>
      </c>
      <c r="BN61" s="112" t="str">
        <f t="shared" si="39"/>
        <v/>
      </c>
      <c r="BO61" s="112" t="str">
        <f t="shared" si="40"/>
        <v/>
      </c>
      <c r="BP61" s="111" t="str">
        <f t="shared" si="41"/>
        <v/>
      </c>
      <c r="BQ61" s="111" t="str">
        <f t="shared" si="42"/>
        <v/>
      </c>
      <c r="BS61" s="112">
        <f t="shared" si="85"/>
        <v>0</v>
      </c>
      <c r="BT61" s="112" t="str">
        <f t="shared" si="43"/>
        <v/>
      </c>
      <c r="BU61" s="112" t="str">
        <f t="shared" si="44"/>
        <v/>
      </c>
      <c r="BV61" s="111" t="str">
        <f t="shared" si="45"/>
        <v/>
      </c>
      <c r="BW61" s="111" t="str">
        <f t="shared" si="46"/>
        <v/>
      </c>
      <c r="BY61" s="112">
        <f t="shared" si="86"/>
        <v>1</v>
      </c>
      <c r="BZ61" s="112" t="str">
        <f t="shared" si="47"/>
        <v/>
      </c>
      <c r="CA61" s="112" t="str">
        <f t="shared" si="48"/>
        <v/>
      </c>
      <c r="CB61" s="111" t="str">
        <f t="shared" si="49"/>
        <v/>
      </c>
      <c r="CC61" s="111" t="str">
        <f t="shared" si="50"/>
        <v/>
      </c>
    </row>
    <row r="62" spans="1:81" ht="12.75" customHeight="1" x14ac:dyDescent="0.2">
      <c r="A62" s="45" t="str">
        <f t="shared" si="82"/>
        <v>Mon</v>
      </c>
      <c r="B62" s="46" t="str">
        <f>INDEX(T,25+MONTH(T62),lang) &amp; " " &amp; DAY(T62) &amp; ", " &amp; YEAR(T62)</f>
        <v>May 18, 2020</v>
      </c>
      <c r="C62" s="47">
        <f>TIME(7,20,0)+gmt_delta</f>
        <v>0.8472222222222221</v>
      </c>
      <c r="D62" s="87" t="str">
        <f>W20</f>
        <v>United States</v>
      </c>
      <c r="E62" s="30"/>
      <c r="F62" s="25"/>
      <c r="G62" s="31"/>
      <c r="H62" s="90" t="str">
        <f>W21</f>
        <v>Switzerland</v>
      </c>
      <c r="I62" s="52" t="str">
        <f>INDEX(T,18,lang)</f>
        <v>Hallenstadion</v>
      </c>
      <c r="T62" s="111">
        <f>DATE(2020,5,18)+C62</f>
        <v>43969.847222222219</v>
      </c>
      <c r="BF62" s="114"/>
      <c r="BH62" s="112" t="str">
        <f t="shared" si="35"/>
        <v/>
      </c>
      <c r="BI62" s="112" t="str">
        <f t="shared" si="36"/>
        <v/>
      </c>
      <c r="BJ62" s="111" t="str">
        <f t="shared" si="37"/>
        <v/>
      </c>
      <c r="BK62" s="111" t="str">
        <f t="shared" si="38"/>
        <v/>
      </c>
      <c r="BM62" s="112">
        <f t="shared" si="84"/>
        <v>0</v>
      </c>
      <c r="BN62" s="112" t="str">
        <f t="shared" si="39"/>
        <v/>
      </c>
      <c r="BO62" s="112" t="str">
        <f t="shared" si="40"/>
        <v/>
      </c>
      <c r="BP62" s="111" t="str">
        <f t="shared" si="41"/>
        <v/>
      </c>
      <c r="BQ62" s="111" t="str">
        <f t="shared" si="42"/>
        <v/>
      </c>
      <c r="BS62" s="112">
        <f t="shared" si="85"/>
        <v>0</v>
      </c>
      <c r="BT62" s="112" t="str">
        <f t="shared" si="43"/>
        <v/>
      </c>
      <c r="BU62" s="112" t="str">
        <f t="shared" si="44"/>
        <v/>
      </c>
      <c r="BV62" s="111" t="str">
        <f t="shared" si="45"/>
        <v/>
      </c>
      <c r="BW62" s="111" t="str">
        <f t="shared" si="46"/>
        <v/>
      </c>
      <c r="BY62" s="112">
        <f t="shared" si="86"/>
        <v>0</v>
      </c>
      <c r="BZ62" s="112" t="str">
        <f t="shared" si="47"/>
        <v/>
      </c>
      <c r="CA62" s="112" t="str">
        <f t="shared" si="48"/>
        <v/>
      </c>
      <c r="CB62" s="111" t="str">
        <f t="shared" si="49"/>
        <v/>
      </c>
      <c r="CC62" s="111" t="str">
        <f t="shared" si="50"/>
        <v/>
      </c>
    </row>
    <row r="63" spans="1:81" ht="12.75" customHeight="1" x14ac:dyDescent="0.2">
      <c r="BF63" s="114"/>
      <c r="BV63" s="112"/>
      <c r="BW63" s="112"/>
      <c r="CB63" s="112"/>
      <c r="CC63" s="112"/>
    </row>
    <row r="64" spans="1:81" ht="12.75" customHeight="1" x14ac:dyDescent="0.2">
      <c r="A64" s="115" t="str">
        <f>INDEX(T,5,lang)</f>
        <v>Quarterfinals</v>
      </c>
      <c r="B64" s="116"/>
      <c r="C64" s="116"/>
      <c r="D64" s="116"/>
      <c r="E64" s="116"/>
      <c r="F64" s="116"/>
      <c r="G64" s="116"/>
      <c r="H64" s="116"/>
      <c r="I64" s="117"/>
      <c r="BF64" s="114" t="str">
        <f>IF(AND(ISNUMBER(E73),ISNUMBER(G73)),IF(E73&gt;G73,D73,IF(E73&lt;G73,H73,INDEX(T,59,lang))),INDEX(T,59,lang))</f>
        <v>Semi Final 1 Winner</v>
      </c>
      <c r="BV64" s="112"/>
      <c r="BW64" s="112"/>
      <c r="CB64" s="112"/>
      <c r="CC64" s="112"/>
    </row>
    <row r="65" spans="1:81" ht="12.75" customHeight="1" x14ac:dyDescent="0.2">
      <c r="A65" s="118"/>
      <c r="B65" s="119"/>
      <c r="C65" s="119"/>
      <c r="D65" s="119"/>
      <c r="E65" s="119"/>
      <c r="F65" s="119"/>
      <c r="G65" s="119"/>
      <c r="H65" s="119"/>
      <c r="I65" s="120"/>
      <c r="BF65" s="114" t="str">
        <f>IF(AND(ISNUMBER(E74),ISNUMBER(G74)),IF(E74&gt;G74,D74,IF(E74&lt;G74,H74,INDEX(T,60,lang))),INDEX(T,60,lang))</f>
        <v>Semi Final 2 Winner</v>
      </c>
    </row>
    <row r="66" spans="1:81" ht="12.75" customHeight="1" x14ac:dyDescent="0.2">
      <c r="A66" s="41" t="str">
        <f t="shared" ref="A66:A69" si="87">INDEX(T,19+INT(MOD(T66-1,7)),lang)</f>
        <v>Thu</v>
      </c>
      <c r="B66" s="42" t="str">
        <f>INDEX(T,25+MONTH(T66),lang) &amp; " " &amp; DAY(T66) &amp; ", " &amp; YEAR(T66)</f>
        <v>May 21, 2020</v>
      </c>
      <c r="C66" s="109" t="s">
        <v>227</v>
      </c>
      <c r="D66" s="44" t="str">
        <f>BF8</f>
        <v>Team A1</v>
      </c>
      <c r="E66" s="26"/>
      <c r="F66" s="24"/>
      <c r="G66" s="27"/>
      <c r="H66" s="49" t="str">
        <f>BF21</f>
        <v>Team B4</v>
      </c>
      <c r="I66" s="50" t="str">
        <f>INDEX(T,17,lang)</f>
        <v>Lausanne Arena</v>
      </c>
      <c r="T66" s="111">
        <f>DATE(2020,5,21)</f>
        <v>43972</v>
      </c>
      <c r="BF66" s="114" t="str">
        <f>IF(AND(ISNUMBER(E73),ISNUMBER(G73)),IF(E73&lt;G73,D73,IF(E73&gt;G73,H73,INDEX(T,61,lang))),INDEX(T,61,lang))</f>
        <v>Semi Final 1 Loser</v>
      </c>
      <c r="BZ66" s="112" t="str">
        <f t="shared" ref="BZ66:BZ89" si="88">IF(AND(ISNUMBER(E34),ISNUMBER(G34)),CONCATENATE(D34, IF(E34&gt;G34,IF(F34="OT","_win_ot","_win"),IF(E34&lt;G34,IF(F34="OT","_draw","_lose"),"_draw"))),"")</f>
        <v/>
      </c>
      <c r="CA66" s="112" t="str">
        <f t="shared" ref="CA66:CA89" si="89">IF(AND(ISNUMBER(E34),ISNUMBER(G34)),CONCATENATE(H34, IF(E34&lt;G34,IF(F34="OT","_win_ot","_win"),IF(E34&gt;G34,IF(F34="OT","_draw","_lose"),"_draw"))),"")</f>
        <v/>
      </c>
      <c r="CB66" s="111" t="str">
        <f t="shared" ref="CB66:CB89" si="90">IF(AND(ISNUMBER(E34),ISNUMBER(G34)),E34,"")</f>
        <v/>
      </c>
      <c r="CC66" s="111" t="str">
        <f t="shared" ref="CC66:CC89" si="91">IF(AND(ISNUMBER(E34),ISNUMBER(G34)),G34,"")</f>
        <v/>
      </c>
    </row>
    <row r="67" spans="1:81" ht="12.75" customHeight="1" x14ac:dyDescent="0.2">
      <c r="A67" s="53" t="str">
        <f t="shared" si="87"/>
        <v>Thu</v>
      </c>
      <c r="B67" s="54" t="str">
        <f>INDEX(T,25+MONTH(T67),lang) &amp; " " &amp; DAY(T67) &amp; ", " &amp; YEAR(T67)</f>
        <v>May 21, 2020</v>
      </c>
      <c r="C67" s="55" t="s">
        <v>227</v>
      </c>
      <c r="D67" s="56" t="str">
        <f>BF18</f>
        <v>Team B1</v>
      </c>
      <c r="E67" s="28"/>
      <c r="F67" s="23"/>
      <c r="G67" s="29"/>
      <c r="H67" s="57" t="str">
        <f>BF11</f>
        <v>Team A4</v>
      </c>
      <c r="I67" s="58" t="str">
        <f>INDEX(T,18,lang)</f>
        <v>Hallenstadion</v>
      </c>
      <c r="T67" s="111">
        <f>DATE(2020,5,21)</f>
        <v>43972</v>
      </c>
      <c r="BF67" s="114" t="str">
        <f>IF(AND(ISNUMBER(E74),ISNUMBER(G74)),IF(E74&lt;G74,D74,IF(E74&gt;G74,H74,INDEX(T,62,lang))),INDEX(T,62,lang))</f>
        <v>Semi Final 2 Loser</v>
      </c>
      <c r="BZ67" s="112" t="str">
        <f t="shared" si="88"/>
        <v/>
      </c>
      <c r="CA67" s="112" t="str">
        <f t="shared" si="89"/>
        <v/>
      </c>
      <c r="CB67" s="111" t="str">
        <f t="shared" si="90"/>
        <v/>
      </c>
      <c r="CC67" s="111" t="str">
        <f t="shared" si="91"/>
        <v/>
      </c>
    </row>
    <row r="68" spans="1:81" ht="12.75" customHeight="1" x14ac:dyDescent="0.2">
      <c r="A68" s="53" t="str">
        <f t="shared" si="87"/>
        <v>Thu</v>
      </c>
      <c r="B68" s="54" t="str">
        <f>INDEX(T,25+MONTH(T68),lang) &amp; " " &amp; DAY(T68) &amp; ", " &amp; YEAR(T68)</f>
        <v>May 21, 2020</v>
      </c>
      <c r="C68" s="55" t="s">
        <v>227</v>
      </c>
      <c r="D68" s="56" t="str">
        <f>BF9</f>
        <v>Team A2</v>
      </c>
      <c r="E68" s="28"/>
      <c r="F68" s="23"/>
      <c r="G68" s="29"/>
      <c r="H68" s="57" t="str">
        <f>BF20</f>
        <v>Team B3</v>
      </c>
      <c r="I68" s="58" t="str">
        <f>INDEX(T,17,lang)</f>
        <v>Lausanne Arena</v>
      </c>
      <c r="T68" s="111">
        <f>DATE(2020,5,21)</f>
        <v>43972</v>
      </c>
      <c r="BZ68" s="112" t="str">
        <f t="shared" si="88"/>
        <v/>
      </c>
      <c r="CA68" s="112" t="str">
        <f t="shared" si="89"/>
        <v/>
      </c>
      <c r="CB68" s="111" t="str">
        <f t="shared" si="90"/>
        <v/>
      </c>
      <c r="CC68" s="111" t="str">
        <f t="shared" si="91"/>
        <v/>
      </c>
    </row>
    <row r="69" spans="1:81" ht="12.75" customHeight="1" x14ac:dyDescent="0.2">
      <c r="A69" s="45" t="str">
        <f t="shared" si="87"/>
        <v>Thu</v>
      </c>
      <c r="B69" s="46" t="str">
        <f>INDEX(T,25+MONTH(T69),lang) &amp; " " &amp; DAY(T69) &amp; ", " &amp; YEAR(T69)</f>
        <v>May 21, 2020</v>
      </c>
      <c r="C69" s="47" t="s">
        <v>227</v>
      </c>
      <c r="D69" s="48" t="str">
        <f>BF19</f>
        <v>Team B2</v>
      </c>
      <c r="E69" s="30"/>
      <c r="F69" s="25"/>
      <c r="G69" s="31"/>
      <c r="H69" s="51" t="str">
        <f>BF10</f>
        <v>Team A3</v>
      </c>
      <c r="I69" s="52" t="str">
        <f>INDEX(T,18,lang)</f>
        <v>Hallenstadion</v>
      </c>
      <c r="T69" s="111">
        <f>DATE(2020,5,21)</f>
        <v>43972</v>
      </c>
      <c r="BZ69" s="112" t="str">
        <f t="shared" si="88"/>
        <v/>
      </c>
      <c r="CA69" s="112" t="str">
        <f t="shared" si="89"/>
        <v/>
      </c>
      <c r="CB69" s="111" t="str">
        <f t="shared" si="90"/>
        <v/>
      </c>
      <c r="CC69" s="111" t="str">
        <f t="shared" si="91"/>
        <v/>
      </c>
    </row>
    <row r="70" spans="1:81" ht="12.75" customHeight="1" x14ac:dyDescent="0.2">
      <c r="BZ70" s="112" t="str">
        <f t="shared" si="88"/>
        <v/>
      </c>
      <c r="CA70" s="112" t="str">
        <f t="shared" si="89"/>
        <v/>
      </c>
      <c r="CB70" s="111" t="str">
        <f t="shared" si="90"/>
        <v/>
      </c>
      <c r="CC70" s="111" t="str">
        <f t="shared" si="91"/>
        <v/>
      </c>
    </row>
    <row r="71" spans="1:81" ht="12.75" customHeight="1" x14ac:dyDescent="0.2">
      <c r="A71" s="115" t="str">
        <f>INDEX(T,6,lang)</f>
        <v>Semi-Finals</v>
      </c>
      <c r="B71" s="116"/>
      <c r="C71" s="116"/>
      <c r="D71" s="116"/>
      <c r="E71" s="116"/>
      <c r="F71" s="116"/>
      <c r="G71" s="116"/>
      <c r="H71" s="116"/>
      <c r="I71" s="117"/>
      <c r="BZ71" s="112" t="str">
        <f t="shared" si="88"/>
        <v/>
      </c>
      <c r="CA71" s="112" t="str">
        <f t="shared" si="89"/>
        <v/>
      </c>
      <c r="CB71" s="111" t="str">
        <f t="shared" si="90"/>
        <v/>
      </c>
      <c r="CC71" s="111" t="str">
        <f t="shared" si="91"/>
        <v/>
      </c>
    </row>
    <row r="72" spans="1:81" ht="12.75" customHeight="1" x14ac:dyDescent="0.2">
      <c r="A72" s="118"/>
      <c r="B72" s="119"/>
      <c r="C72" s="119"/>
      <c r="D72" s="119"/>
      <c r="E72" s="119"/>
      <c r="F72" s="119"/>
      <c r="G72" s="119"/>
      <c r="H72" s="119"/>
      <c r="I72" s="120"/>
      <c r="BZ72" s="112" t="str">
        <f t="shared" si="88"/>
        <v/>
      </c>
      <c r="CA72" s="112" t="str">
        <f t="shared" si="89"/>
        <v/>
      </c>
      <c r="CB72" s="111" t="str">
        <f t="shared" si="90"/>
        <v/>
      </c>
      <c r="CC72" s="111" t="str">
        <f t="shared" si="91"/>
        <v/>
      </c>
    </row>
    <row r="73" spans="1:81" ht="12.75" customHeight="1" x14ac:dyDescent="0.2">
      <c r="A73" s="41" t="str">
        <f t="shared" ref="A73:A74" si="92">INDEX(T,19+INT(MOD(T73-1,7)),lang)</f>
        <v>Sat</v>
      </c>
      <c r="B73" s="42" t="str">
        <f>INDEX(T,25+MONTH(T73),lang) &amp; " " &amp; DAY(T73) &amp; ", " &amp; YEAR(T73)</f>
        <v>May 23, 2020</v>
      </c>
      <c r="C73" s="43" t="s">
        <v>227</v>
      </c>
      <c r="D73" s="44" t="str">
        <f>BF57</f>
        <v>Quarter Final 1 Winner</v>
      </c>
      <c r="E73" s="26"/>
      <c r="F73" s="24"/>
      <c r="G73" s="27"/>
      <c r="H73" s="101" t="str">
        <f>BF60</f>
        <v>Quarter Final 4 Winner</v>
      </c>
      <c r="I73" s="50" t="str">
        <f>INDEX(T,18,lang)</f>
        <v>Hallenstadion</v>
      </c>
      <c r="T73" s="111">
        <f>DATE(2020,5,23)</f>
        <v>43974</v>
      </c>
      <c r="BF73" s="114" t="str">
        <f>IF(AND(ISNUMBER(E82),ISNUMBER(G82)),IF(E82&gt;G82,D82,IF(E82&lt;G82,H82,"")),"")</f>
        <v/>
      </c>
      <c r="BZ73" s="112" t="str">
        <f t="shared" si="88"/>
        <v/>
      </c>
      <c r="CA73" s="112" t="str">
        <f t="shared" si="89"/>
        <v/>
      </c>
      <c r="CB73" s="111" t="str">
        <f t="shared" si="90"/>
        <v/>
      </c>
      <c r="CC73" s="111" t="str">
        <f t="shared" si="91"/>
        <v/>
      </c>
    </row>
    <row r="74" spans="1:81" ht="12.75" customHeight="1" x14ac:dyDescent="0.2">
      <c r="A74" s="45" t="str">
        <f t="shared" si="92"/>
        <v>Sat</v>
      </c>
      <c r="B74" s="46" t="str">
        <f>INDEX(T,25+MONTH(T74),lang) &amp; " " &amp; DAY(T74) &amp; ", " &amp; YEAR(T74)</f>
        <v>May 23, 2020</v>
      </c>
      <c r="C74" s="47" t="s">
        <v>227</v>
      </c>
      <c r="D74" s="48" t="str">
        <f>BF59</f>
        <v>Quarter Final 3 Winner</v>
      </c>
      <c r="E74" s="30"/>
      <c r="F74" s="25"/>
      <c r="G74" s="31"/>
      <c r="H74" s="102" t="str">
        <f>BF58</f>
        <v>Quarter Final 2 Winner</v>
      </c>
      <c r="I74" s="52" t="str">
        <f>INDEX(T,18,lang)</f>
        <v>Hallenstadion</v>
      </c>
      <c r="T74" s="111">
        <f>DATE(2020,5,23)</f>
        <v>43974</v>
      </c>
      <c r="BZ74" s="112" t="str">
        <f t="shared" si="88"/>
        <v/>
      </c>
      <c r="CA74" s="112" t="str">
        <f t="shared" si="89"/>
        <v/>
      </c>
      <c r="CB74" s="111" t="str">
        <f t="shared" si="90"/>
        <v/>
      </c>
      <c r="CC74" s="111" t="str">
        <f t="shared" si="91"/>
        <v/>
      </c>
    </row>
    <row r="75" spans="1:81" ht="12.75" customHeight="1" x14ac:dyDescent="0.2">
      <c r="BZ75" s="112" t="str">
        <f t="shared" si="88"/>
        <v/>
      </c>
      <c r="CA75" s="112" t="str">
        <f t="shared" si="89"/>
        <v/>
      </c>
      <c r="CB75" s="111" t="str">
        <f t="shared" si="90"/>
        <v/>
      </c>
      <c r="CC75" s="111" t="str">
        <f t="shared" si="91"/>
        <v/>
      </c>
    </row>
    <row r="76" spans="1:81" ht="12.75" customHeight="1" x14ac:dyDescent="0.2">
      <c r="A76" s="115" t="str">
        <f>INDEX(T,7,lang)</f>
        <v>Third-Place Play-Off</v>
      </c>
      <c r="B76" s="116"/>
      <c r="C76" s="116"/>
      <c r="D76" s="116"/>
      <c r="E76" s="116"/>
      <c r="F76" s="116"/>
      <c r="G76" s="116"/>
      <c r="H76" s="116"/>
      <c r="I76" s="117"/>
      <c r="BZ76" s="112" t="str">
        <f t="shared" si="88"/>
        <v/>
      </c>
      <c r="CA76" s="112" t="str">
        <f t="shared" si="89"/>
        <v/>
      </c>
      <c r="CB76" s="111" t="str">
        <f t="shared" si="90"/>
        <v/>
      </c>
      <c r="CC76" s="111" t="str">
        <f t="shared" si="91"/>
        <v/>
      </c>
    </row>
    <row r="77" spans="1:81" x14ac:dyDescent="0.2">
      <c r="A77" s="118"/>
      <c r="B77" s="119"/>
      <c r="C77" s="119"/>
      <c r="D77" s="119"/>
      <c r="E77" s="119"/>
      <c r="F77" s="119"/>
      <c r="G77" s="119"/>
      <c r="H77" s="119"/>
      <c r="I77" s="120"/>
      <c r="BZ77" s="112" t="str">
        <f t="shared" si="88"/>
        <v/>
      </c>
      <c r="CA77" s="112" t="str">
        <f t="shared" si="89"/>
        <v/>
      </c>
      <c r="CB77" s="111" t="str">
        <f t="shared" si="90"/>
        <v/>
      </c>
      <c r="CC77" s="111" t="str">
        <f t="shared" si="91"/>
        <v/>
      </c>
    </row>
    <row r="78" spans="1:81" x14ac:dyDescent="0.2">
      <c r="A78" s="35" t="str">
        <f>INDEX(T,19+INT(MOD(T78-1,7)),lang)</f>
        <v>Sun</v>
      </c>
      <c r="B78" s="36" t="str">
        <f>INDEX(T,25+MONTH(T78),lang) &amp; " " &amp; DAY(T78) &amp; ", " &amp; YEAR(T78)</f>
        <v>May 24, 2020</v>
      </c>
      <c r="C78" s="37">
        <f>TIME(2,20,0)+gmt_delta</f>
        <v>0.63888888888888884</v>
      </c>
      <c r="D78" s="38" t="str">
        <f>BF66</f>
        <v>Semi Final 1 Loser</v>
      </c>
      <c r="E78" s="32"/>
      <c r="F78" s="33"/>
      <c r="G78" s="34"/>
      <c r="H78" s="39" t="str">
        <f>BF67</f>
        <v>Semi Final 2 Loser</v>
      </c>
      <c r="I78" s="40" t="str">
        <f>INDEX(T,18,lang)</f>
        <v>Hallenstadion</v>
      </c>
      <c r="T78" s="111">
        <f>DATE(2020,5,24)+C78</f>
        <v>43975.638888888891</v>
      </c>
      <c r="BZ78" s="112" t="str">
        <f t="shared" si="88"/>
        <v/>
      </c>
      <c r="CA78" s="112" t="str">
        <f t="shared" si="89"/>
        <v/>
      </c>
      <c r="CB78" s="111" t="str">
        <f t="shared" si="90"/>
        <v/>
      </c>
      <c r="CC78" s="111" t="str">
        <f t="shared" si="91"/>
        <v/>
      </c>
    </row>
    <row r="79" spans="1:81" x14ac:dyDescent="0.2">
      <c r="BZ79" s="112" t="str">
        <f t="shared" si="88"/>
        <v/>
      </c>
      <c r="CA79" s="112" t="str">
        <f t="shared" si="89"/>
        <v/>
      </c>
      <c r="CB79" s="111" t="str">
        <f t="shared" si="90"/>
        <v/>
      </c>
      <c r="CC79" s="111" t="str">
        <f t="shared" si="91"/>
        <v/>
      </c>
    </row>
    <row r="80" spans="1:81" x14ac:dyDescent="0.2">
      <c r="A80" s="115" t="str">
        <f>INDEX(T,8,lang)</f>
        <v>Final</v>
      </c>
      <c r="B80" s="116"/>
      <c r="C80" s="116"/>
      <c r="D80" s="116"/>
      <c r="E80" s="116"/>
      <c r="F80" s="116"/>
      <c r="G80" s="116"/>
      <c r="H80" s="116"/>
      <c r="I80" s="117"/>
      <c r="BZ80" s="112" t="str">
        <f t="shared" si="88"/>
        <v/>
      </c>
      <c r="CA80" s="112" t="str">
        <f t="shared" si="89"/>
        <v/>
      </c>
      <c r="CB80" s="111" t="str">
        <f t="shared" si="90"/>
        <v/>
      </c>
      <c r="CC80" s="111" t="str">
        <f t="shared" si="91"/>
        <v/>
      </c>
    </row>
    <row r="81" spans="1:81" x14ac:dyDescent="0.2">
      <c r="A81" s="118"/>
      <c r="B81" s="119"/>
      <c r="C81" s="119"/>
      <c r="D81" s="119"/>
      <c r="E81" s="119"/>
      <c r="F81" s="119"/>
      <c r="G81" s="119"/>
      <c r="H81" s="119"/>
      <c r="I81" s="120"/>
      <c r="BZ81" s="112" t="str">
        <f t="shared" si="88"/>
        <v/>
      </c>
      <c r="CA81" s="112" t="str">
        <f t="shared" si="89"/>
        <v/>
      </c>
      <c r="CB81" s="111" t="str">
        <f t="shared" si="90"/>
        <v/>
      </c>
      <c r="CC81" s="111" t="str">
        <f t="shared" si="91"/>
        <v/>
      </c>
    </row>
    <row r="82" spans="1:81" x14ac:dyDescent="0.2">
      <c r="A82" s="35" t="str">
        <f>INDEX(T,19+INT(MOD(T82-1,7)),lang)</f>
        <v>Sun</v>
      </c>
      <c r="B82" s="36" t="str">
        <f>INDEX(T,25+MONTH(T82),lang) &amp; " " &amp; DAY(T82) &amp; ", " &amp; YEAR(T82)</f>
        <v>May 24, 2020</v>
      </c>
      <c r="C82" s="37">
        <f>TIME(7,20,0)+gmt_delta</f>
        <v>0.8472222222222221</v>
      </c>
      <c r="D82" s="38" t="str">
        <f>BF64</f>
        <v>Semi Final 1 Winner</v>
      </c>
      <c r="E82" s="32"/>
      <c r="F82" s="33"/>
      <c r="G82" s="34"/>
      <c r="H82" s="39" t="str">
        <f>BF65</f>
        <v>Semi Final 2 Winner</v>
      </c>
      <c r="I82" s="40" t="str">
        <f>INDEX(T,18,lang)</f>
        <v>Hallenstadion</v>
      </c>
      <c r="T82" s="111">
        <f>DATE(2020,5,24)+C82</f>
        <v>43975.847222222219</v>
      </c>
      <c r="BZ82" s="112" t="str">
        <f t="shared" si="88"/>
        <v/>
      </c>
      <c r="CA82" s="112" t="str">
        <f t="shared" si="89"/>
        <v/>
      </c>
      <c r="CB82" s="111" t="str">
        <f t="shared" si="90"/>
        <v/>
      </c>
      <c r="CC82" s="111" t="str">
        <f t="shared" si="91"/>
        <v/>
      </c>
    </row>
    <row r="83" spans="1:81" ht="13.5" thickBot="1" x14ac:dyDescent="0.25">
      <c r="BZ83" s="112" t="str">
        <f t="shared" si="88"/>
        <v/>
      </c>
      <c r="CA83" s="112" t="str">
        <f t="shared" si="89"/>
        <v/>
      </c>
      <c r="CB83" s="111" t="str">
        <f t="shared" si="90"/>
        <v/>
      </c>
      <c r="CC83" s="111" t="str">
        <f t="shared" si="91"/>
        <v/>
      </c>
    </row>
    <row r="84" spans="1:81" x14ac:dyDescent="0.2">
      <c r="A84" s="121" t="str">
        <f>INDEX(T,63,lang)</f>
        <v>World Champion 2020</v>
      </c>
      <c r="B84" s="121"/>
      <c r="C84" s="121"/>
      <c r="D84" s="121"/>
      <c r="E84" s="123" t="str">
        <f>BF73</f>
        <v/>
      </c>
      <c r="F84" s="123"/>
      <c r="G84" s="123"/>
      <c r="H84" s="123"/>
      <c r="I84" s="123"/>
      <c r="BZ84" s="112" t="str">
        <f t="shared" si="88"/>
        <v/>
      </c>
      <c r="CA84" s="112" t="str">
        <f t="shared" si="89"/>
        <v/>
      </c>
      <c r="CB84" s="111" t="str">
        <f t="shared" si="90"/>
        <v/>
      </c>
      <c r="CC84" s="111" t="str">
        <f t="shared" si="91"/>
        <v/>
      </c>
    </row>
    <row r="85" spans="1:81" x14ac:dyDescent="0.2">
      <c r="A85" s="122"/>
      <c r="B85" s="122"/>
      <c r="C85" s="122"/>
      <c r="D85" s="122"/>
      <c r="E85" s="124"/>
      <c r="F85" s="124"/>
      <c r="G85" s="124"/>
      <c r="H85" s="124"/>
      <c r="I85" s="124"/>
      <c r="BZ85" s="112" t="str">
        <f t="shared" si="88"/>
        <v/>
      </c>
      <c r="CA85" s="112" t="str">
        <f t="shared" si="89"/>
        <v/>
      </c>
      <c r="CB85" s="111" t="str">
        <f t="shared" si="90"/>
        <v/>
      </c>
      <c r="CC85" s="111" t="str">
        <f t="shared" si="91"/>
        <v/>
      </c>
    </row>
    <row r="86" spans="1:81" x14ac:dyDescent="0.2">
      <c r="BZ86" s="112" t="str">
        <f t="shared" si="88"/>
        <v/>
      </c>
      <c r="CA86" s="112" t="str">
        <f t="shared" si="89"/>
        <v/>
      </c>
      <c r="CB86" s="111" t="str">
        <f t="shared" si="90"/>
        <v/>
      </c>
      <c r="CC86" s="111" t="str">
        <f t="shared" si="91"/>
        <v/>
      </c>
    </row>
    <row r="87" spans="1:81" x14ac:dyDescent="0.2">
      <c r="BZ87" s="112" t="str">
        <f t="shared" si="88"/>
        <v/>
      </c>
      <c r="CA87" s="112" t="str">
        <f t="shared" si="89"/>
        <v/>
      </c>
      <c r="CB87" s="111" t="str">
        <f t="shared" si="90"/>
        <v/>
      </c>
      <c r="CC87" s="111" t="str">
        <f t="shared" si="91"/>
        <v/>
      </c>
    </row>
    <row r="88" spans="1:81" x14ac:dyDescent="0.2">
      <c r="BZ88" s="112" t="str">
        <f t="shared" si="88"/>
        <v/>
      </c>
      <c r="CA88" s="112" t="str">
        <f t="shared" si="89"/>
        <v/>
      </c>
      <c r="CB88" s="111" t="str">
        <f t="shared" si="90"/>
        <v/>
      </c>
      <c r="CC88" s="111" t="str">
        <f t="shared" si="91"/>
        <v/>
      </c>
    </row>
    <row r="89" spans="1:81" x14ac:dyDescent="0.2">
      <c r="BZ89" s="112" t="str">
        <f t="shared" si="88"/>
        <v/>
      </c>
      <c r="CA89" s="112" t="str">
        <f t="shared" si="89"/>
        <v/>
      </c>
      <c r="CB89" s="111" t="str">
        <f t="shared" si="90"/>
        <v/>
      </c>
      <c r="CC89" s="111" t="str">
        <f t="shared" si="91"/>
        <v/>
      </c>
    </row>
  </sheetData>
  <sheetProtection algorithmName="SHA-512" hashValue="D+OZ+G+C2tAx/jlxEYTQTbo9lxrybXlskIpA6L1GWIipMfJL/d8qlj8N/KifUsE6fug4GPgMXNMBxeV76ufvsA==" saltValue="dBusZ5uT5Xv8xZZc3HT39Q==" spinCount="100000" sheet="1" objects="1" scenarios="1"/>
  <mergeCells count="12">
    <mergeCell ref="K36:R39"/>
    <mergeCell ref="A1:R1"/>
    <mergeCell ref="A5:I6"/>
    <mergeCell ref="K5:R6"/>
    <mergeCell ref="P3:R3"/>
    <mergeCell ref="K28:R34"/>
    <mergeCell ref="A64:I65"/>
    <mergeCell ref="A84:D85"/>
    <mergeCell ref="E84:I85"/>
    <mergeCell ref="A71:I72"/>
    <mergeCell ref="A76:I77"/>
    <mergeCell ref="A80:I81"/>
  </mergeCells>
  <phoneticPr fontId="2" type="noConversion"/>
  <conditionalFormatting sqref="E78 E7:E29 E66:E69 E73:E74 E82">
    <cfRule type="expression" dxfId="174" priority="190" stopIfTrue="1">
      <formula>IF(AND($E7&gt;$G7,ISNUMBER($E7),ISNUMBER($G7)),1,0)</formula>
    </cfRule>
  </conditionalFormatting>
  <conditionalFormatting sqref="G78 G7:G29 G66:G69 G73:G74 G82">
    <cfRule type="expression" dxfId="173" priority="191" stopIfTrue="1">
      <formula>IF(AND($E7&lt;$G7,ISNUMBER($E7),ISNUMBER($G7)),1,0)</formula>
    </cfRule>
  </conditionalFormatting>
  <conditionalFormatting sqref="D7:D29">
    <cfRule type="expression" dxfId="172" priority="213" stopIfTrue="1">
      <formula>IF(AND($E7&gt;$G7,ISNUMBER($E7),ISNUMBER($G7)),1,0)</formula>
    </cfRule>
    <cfRule type="expression" dxfId="171" priority="214" stopIfTrue="1">
      <formula>IF(AND($E7&lt;$G7,ISNUMBER($E7),ISNUMBER($G7)),1,0)</formula>
    </cfRule>
    <cfRule type="expression" dxfId="170" priority="215" stopIfTrue="1">
      <formula>IF(AND($E7=$G7,ISNUMBER($E7),ISNUMBER($G7)),1,0)</formula>
    </cfRule>
  </conditionalFormatting>
  <conditionalFormatting sqref="H66:H69 H73:H74 H78 H82 H7:H29">
    <cfRule type="expression" dxfId="169" priority="216" stopIfTrue="1">
      <formula>IF(AND($E7&lt;$G7,ISNUMBER($E7),ISNUMBER($G7)),1,0)</formula>
    </cfRule>
    <cfRule type="expression" dxfId="168" priority="217" stopIfTrue="1">
      <formula>IF(AND($E7&gt;$G7,ISNUMBER($E7),ISNUMBER($G7)),1,0)</formula>
    </cfRule>
    <cfRule type="expression" dxfId="167" priority="218" stopIfTrue="1">
      <formula>IF(AND($E7=$G7,ISNUMBER($E7),ISNUMBER($G7)),1,0)</formula>
    </cfRule>
  </conditionalFormatting>
  <conditionalFormatting sqref="D66:D69 D73:D74 D78 D82">
    <cfRule type="expression" dxfId="166" priority="219" stopIfTrue="1">
      <formula>IF(AND($E66&gt;$G66,ISNUMBER($E66),ISNUMBER($G66)),1,0)</formula>
    </cfRule>
    <cfRule type="expression" dxfId="165" priority="220" stopIfTrue="1">
      <formula>IF(AND($E66&lt;$G66,ISNUMBER($E66),ISNUMBER($G66)),1,0)</formula>
    </cfRule>
    <cfRule type="expression" dxfId="164" priority="221" stopIfTrue="1">
      <formula>IF(AND($E66=$G66,ISNUMBER($E66),ISNUMBER($G66)),1,0)</formula>
    </cfRule>
  </conditionalFormatting>
  <conditionalFormatting sqref="E32:E61">
    <cfRule type="expression" dxfId="163" priority="157" stopIfTrue="1">
      <formula>IF(AND($E32&gt;$G32,ISNUMBER($E32),ISNUMBER($G32)),1,0)</formula>
    </cfRule>
  </conditionalFormatting>
  <conditionalFormatting sqref="G32:G61">
    <cfRule type="expression" dxfId="162" priority="158" stopIfTrue="1">
      <formula>IF(AND($E32&lt;$G32,ISNUMBER($E32),ISNUMBER($G32)),1,0)</formula>
    </cfRule>
  </conditionalFormatting>
  <conditionalFormatting sqref="E30:E31">
    <cfRule type="expression" dxfId="161" priority="149" stopIfTrue="1">
      <formula>IF(AND($E30&gt;$G30,ISNUMBER($E30),ISNUMBER($G30)),1,0)</formula>
    </cfRule>
  </conditionalFormatting>
  <conditionalFormatting sqref="G30:G31">
    <cfRule type="expression" dxfId="160" priority="150" stopIfTrue="1">
      <formula>IF(AND($E30&lt;$G30,ISNUMBER($E30),ISNUMBER($G30)),1,0)</formula>
    </cfRule>
  </conditionalFormatting>
  <conditionalFormatting sqref="D32 D39:D40 D44 D58:D59 D47:D48 D55:D56">
    <cfRule type="expression" dxfId="159" priority="159" stopIfTrue="1">
      <formula>IF(AND($E32&gt;$G32,ISNUMBER($E32),ISNUMBER($G32)),1,0)</formula>
    </cfRule>
    <cfRule type="expression" dxfId="158" priority="160" stopIfTrue="1">
      <formula>IF(AND($E32&lt;$G32,ISNUMBER($E32),ISNUMBER($G32)),1,0)</formula>
    </cfRule>
    <cfRule type="expression" dxfId="157" priority="161" stopIfTrue="1">
      <formula>IF(AND($E32=$G32,ISNUMBER($E32),ISNUMBER($G32)),1,0)</formula>
    </cfRule>
  </conditionalFormatting>
  <conditionalFormatting sqref="H39 H45 H49 H53 H59">
    <cfRule type="expression" dxfId="156" priority="162" stopIfTrue="1">
      <formula>IF(AND($E39&lt;$G39,ISNUMBER($E39),ISNUMBER($G39)),1,0)</formula>
    </cfRule>
    <cfRule type="expression" dxfId="155" priority="163" stopIfTrue="1">
      <formula>IF(AND($E39&gt;$G39,ISNUMBER($E39),ISNUMBER($G39)),1,0)</formula>
    </cfRule>
    <cfRule type="expression" dxfId="154" priority="164" stopIfTrue="1">
      <formula>IF(AND($E39=$G39,ISNUMBER($E39),ISNUMBER($G39)),1,0)</formula>
    </cfRule>
  </conditionalFormatting>
  <conditionalFormatting sqref="D30:D31">
    <cfRule type="expression" dxfId="153" priority="151" stopIfTrue="1">
      <formula>IF(AND($E30&gt;$G30,ISNUMBER($E30),ISNUMBER($G30)),1,0)</formula>
    </cfRule>
    <cfRule type="expression" dxfId="152" priority="152" stopIfTrue="1">
      <formula>IF(AND($E30&lt;$G30,ISNUMBER($E30),ISNUMBER($G30)),1,0)</formula>
    </cfRule>
    <cfRule type="expression" dxfId="151" priority="153" stopIfTrue="1">
      <formula>IF(AND($E30=$G30,ISNUMBER($E30),ISNUMBER($G30)),1,0)</formula>
    </cfRule>
  </conditionalFormatting>
  <conditionalFormatting sqref="H30">
    <cfRule type="expression" dxfId="150" priority="154" stopIfTrue="1">
      <formula>IF(AND($E30&lt;$G30,ISNUMBER($E30),ISNUMBER($G30)),1,0)</formula>
    </cfRule>
    <cfRule type="expression" dxfId="149" priority="155" stopIfTrue="1">
      <formula>IF(AND($E30&gt;$G30,ISNUMBER($E30),ISNUMBER($G30)),1,0)</formula>
    </cfRule>
    <cfRule type="expression" dxfId="148" priority="156" stopIfTrue="1">
      <formula>IF(AND($E30=$G30,ISNUMBER($E30),ISNUMBER($G30)),1,0)</formula>
    </cfRule>
  </conditionalFormatting>
  <conditionalFormatting sqref="E62">
    <cfRule type="expression" dxfId="147" priority="141" stopIfTrue="1">
      <formula>IF(AND($E62&gt;$G62,ISNUMBER($E62),ISNUMBER($G62)),1,0)</formula>
    </cfRule>
  </conditionalFormatting>
  <conditionalFormatting sqref="G62">
    <cfRule type="expression" dxfId="146" priority="142" stopIfTrue="1">
      <formula>IF(AND($E62&lt;$G62,ISNUMBER($E62),ISNUMBER($G62)),1,0)</formula>
    </cfRule>
  </conditionalFormatting>
  <conditionalFormatting sqref="D62">
    <cfRule type="expression" dxfId="145" priority="143" stopIfTrue="1">
      <formula>IF(AND($E62&gt;$G62,ISNUMBER($E62),ISNUMBER($G62)),1,0)</formula>
    </cfRule>
    <cfRule type="expression" dxfId="144" priority="144" stopIfTrue="1">
      <formula>IF(AND($E62&lt;$G62,ISNUMBER($E62),ISNUMBER($G62)),1,0)</formula>
    </cfRule>
    <cfRule type="expression" dxfId="143" priority="145" stopIfTrue="1">
      <formula>IF(AND($E62=$G62,ISNUMBER($E62),ISNUMBER($G62)),1,0)</formula>
    </cfRule>
  </conditionalFormatting>
  <conditionalFormatting sqref="H62">
    <cfRule type="expression" dxfId="142" priority="146" stopIfTrue="1">
      <formula>IF(AND($E62&lt;$G62,ISNUMBER($E62),ISNUMBER($G62)),1,0)</formula>
    </cfRule>
    <cfRule type="expression" dxfId="141" priority="147" stopIfTrue="1">
      <formula>IF(AND($E62&gt;$G62,ISNUMBER($E62),ISNUMBER($G62)),1,0)</formula>
    </cfRule>
    <cfRule type="expression" dxfId="140" priority="148" stopIfTrue="1">
      <formula>IF(AND($E62=$G62,ISNUMBER($E62),ISNUMBER($G62)),1,0)</formula>
    </cfRule>
  </conditionalFormatting>
  <conditionalFormatting sqref="K9:R12">
    <cfRule type="expression" dxfId="139" priority="140" stopIfTrue="1">
      <formula>IF(SUM($L$9:$L$16)=56,1,0)</formula>
    </cfRule>
  </conditionalFormatting>
  <conditionalFormatting sqref="K19:R22">
    <cfRule type="expression" dxfId="138" priority="139" stopIfTrue="1">
      <formula>IF(SUM($L$19:$L$26)=56,1,0)</formula>
    </cfRule>
  </conditionalFormatting>
  <conditionalFormatting sqref="D33">
    <cfRule type="expression" dxfId="137" priority="136" stopIfTrue="1">
      <formula>IF(AND($E33&gt;$G33,ISNUMBER($E33),ISNUMBER($G33)),1,0)</formula>
    </cfRule>
    <cfRule type="expression" dxfId="136" priority="137" stopIfTrue="1">
      <formula>IF(AND($E33&lt;$G33,ISNUMBER($E33),ISNUMBER($G33)),1,0)</formula>
    </cfRule>
    <cfRule type="expression" dxfId="135" priority="138" stopIfTrue="1">
      <formula>IF(AND($E33=$G33,ISNUMBER($E33),ISNUMBER($G33)),1,0)</formula>
    </cfRule>
  </conditionalFormatting>
  <conditionalFormatting sqref="H33">
    <cfRule type="expression" dxfId="134" priority="133" stopIfTrue="1">
      <formula>IF(AND($E33&lt;$G33,ISNUMBER($E33),ISNUMBER($G33)),1,0)</formula>
    </cfRule>
    <cfRule type="expression" dxfId="133" priority="134" stopIfTrue="1">
      <formula>IF(AND($E33&gt;$G33,ISNUMBER($E33),ISNUMBER($G33)),1,0)</formula>
    </cfRule>
    <cfRule type="expression" dxfId="132" priority="135" stopIfTrue="1">
      <formula>IF(AND($E33=$G33,ISNUMBER($E33),ISNUMBER($G33)),1,0)</formula>
    </cfRule>
  </conditionalFormatting>
  <conditionalFormatting sqref="H34">
    <cfRule type="expression" dxfId="131" priority="130" stopIfTrue="1">
      <formula>IF(AND($E34&lt;$G34,ISNUMBER($E34),ISNUMBER($G34)),1,0)</formula>
    </cfRule>
    <cfRule type="expression" dxfId="130" priority="131" stopIfTrue="1">
      <formula>IF(AND($E34&gt;$G34,ISNUMBER($E34),ISNUMBER($G34)),1,0)</formula>
    </cfRule>
    <cfRule type="expression" dxfId="129" priority="132" stopIfTrue="1">
      <formula>IF(AND($E34=$G34,ISNUMBER($E34),ISNUMBER($G34)),1,0)</formula>
    </cfRule>
  </conditionalFormatting>
  <conditionalFormatting sqref="D34">
    <cfRule type="expression" dxfId="128" priority="127" stopIfTrue="1">
      <formula>IF(AND($E34&gt;$G34,ISNUMBER($E34),ISNUMBER($G34)),1,0)</formula>
    </cfRule>
    <cfRule type="expression" dxfId="127" priority="128" stopIfTrue="1">
      <formula>IF(AND($E34&lt;$G34,ISNUMBER($E34),ISNUMBER($G34)),1,0)</formula>
    </cfRule>
    <cfRule type="expression" dxfId="126" priority="129" stopIfTrue="1">
      <formula>IF(AND($E34=$G34,ISNUMBER($E34),ISNUMBER($G34)),1,0)</formula>
    </cfRule>
  </conditionalFormatting>
  <conditionalFormatting sqref="D35">
    <cfRule type="expression" dxfId="125" priority="124" stopIfTrue="1">
      <formula>IF(AND($E35&gt;$G35,ISNUMBER($E35),ISNUMBER($G35)),1,0)</formula>
    </cfRule>
    <cfRule type="expression" dxfId="124" priority="125" stopIfTrue="1">
      <formula>IF(AND($E35&lt;$G35,ISNUMBER($E35),ISNUMBER($G35)),1,0)</formula>
    </cfRule>
    <cfRule type="expression" dxfId="123" priority="126" stopIfTrue="1">
      <formula>IF(AND($E35=$G35,ISNUMBER($E35),ISNUMBER($G35)),1,0)</formula>
    </cfRule>
  </conditionalFormatting>
  <conditionalFormatting sqref="H35">
    <cfRule type="expression" dxfId="122" priority="121" stopIfTrue="1">
      <formula>IF(AND($E35&lt;$G35,ISNUMBER($E35),ISNUMBER($G35)),1,0)</formula>
    </cfRule>
    <cfRule type="expression" dxfId="121" priority="122" stopIfTrue="1">
      <formula>IF(AND($E35&gt;$G35,ISNUMBER($E35),ISNUMBER($G35)),1,0)</formula>
    </cfRule>
    <cfRule type="expression" dxfId="120" priority="123" stopIfTrue="1">
      <formula>IF(AND($E35=$G35,ISNUMBER($E35),ISNUMBER($G35)),1,0)</formula>
    </cfRule>
  </conditionalFormatting>
  <conditionalFormatting sqref="H36">
    <cfRule type="expression" dxfId="119" priority="118" stopIfTrue="1">
      <formula>IF(AND($E36&lt;$G36,ISNUMBER($E36),ISNUMBER($G36)),1,0)</formula>
    </cfRule>
    <cfRule type="expression" dxfId="118" priority="119" stopIfTrue="1">
      <formula>IF(AND($E36&gt;$G36,ISNUMBER($E36),ISNUMBER($G36)),1,0)</formula>
    </cfRule>
    <cfRule type="expression" dxfId="117" priority="120" stopIfTrue="1">
      <formula>IF(AND($E36=$G36,ISNUMBER($E36),ISNUMBER($G36)),1,0)</formula>
    </cfRule>
  </conditionalFormatting>
  <conditionalFormatting sqref="D36">
    <cfRule type="expression" dxfId="116" priority="115" stopIfTrue="1">
      <formula>IF(AND($E36&gt;$G36,ISNUMBER($E36),ISNUMBER($G36)),1,0)</formula>
    </cfRule>
    <cfRule type="expression" dxfId="115" priority="116" stopIfTrue="1">
      <formula>IF(AND($E36&lt;$G36,ISNUMBER($E36),ISNUMBER($G36)),1,0)</formula>
    </cfRule>
    <cfRule type="expression" dxfId="114" priority="117" stopIfTrue="1">
      <formula>IF(AND($E36=$G36,ISNUMBER($E36),ISNUMBER($G36)),1,0)</formula>
    </cfRule>
  </conditionalFormatting>
  <conditionalFormatting sqref="D37">
    <cfRule type="expression" dxfId="113" priority="112" stopIfTrue="1">
      <formula>IF(AND($E37&gt;$G37,ISNUMBER($E37),ISNUMBER($G37)),1,0)</formula>
    </cfRule>
    <cfRule type="expression" dxfId="112" priority="113" stopIfTrue="1">
      <formula>IF(AND($E37&lt;$G37,ISNUMBER($E37),ISNUMBER($G37)),1,0)</formula>
    </cfRule>
    <cfRule type="expression" dxfId="111" priority="114" stopIfTrue="1">
      <formula>IF(AND($E37=$G37,ISNUMBER($E37),ISNUMBER($G37)),1,0)</formula>
    </cfRule>
  </conditionalFormatting>
  <conditionalFormatting sqref="H37">
    <cfRule type="expression" dxfId="110" priority="109" stopIfTrue="1">
      <formula>IF(AND($E37&lt;$G37,ISNUMBER($E37),ISNUMBER($G37)),1,0)</formula>
    </cfRule>
    <cfRule type="expression" dxfId="109" priority="110" stopIfTrue="1">
      <formula>IF(AND($E37&gt;$G37,ISNUMBER($E37),ISNUMBER($G37)),1,0)</formula>
    </cfRule>
    <cfRule type="expression" dxfId="108" priority="111" stopIfTrue="1">
      <formula>IF(AND($E37=$G37,ISNUMBER($E37),ISNUMBER($G37)),1,0)</formula>
    </cfRule>
  </conditionalFormatting>
  <conditionalFormatting sqref="H38">
    <cfRule type="expression" dxfId="107" priority="106" stopIfTrue="1">
      <formula>IF(AND($E38&lt;$G38,ISNUMBER($E38),ISNUMBER($G38)),1,0)</formula>
    </cfRule>
    <cfRule type="expression" dxfId="106" priority="107" stopIfTrue="1">
      <formula>IF(AND($E38&gt;$G38,ISNUMBER($E38),ISNUMBER($G38)),1,0)</formula>
    </cfRule>
    <cfRule type="expression" dxfId="105" priority="108" stopIfTrue="1">
      <formula>IF(AND($E38=$G38,ISNUMBER($E38),ISNUMBER($G38)),1,0)</formula>
    </cfRule>
  </conditionalFormatting>
  <conditionalFormatting sqref="H40">
    <cfRule type="expression" dxfId="104" priority="103" stopIfTrue="1">
      <formula>IF(AND($E40&lt;$G40,ISNUMBER($E40),ISNUMBER($G40)),1,0)</formula>
    </cfRule>
    <cfRule type="expression" dxfId="103" priority="104" stopIfTrue="1">
      <formula>IF(AND($E40&gt;$G40,ISNUMBER($E40),ISNUMBER($G40)),1,0)</formula>
    </cfRule>
    <cfRule type="expression" dxfId="102" priority="105" stopIfTrue="1">
      <formula>IF(AND($E40=$G40,ISNUMBER($E40),ISNUMBER($G40)),1,0)</formula>
    </cfRule>
  </conditionalFormatting>
  <conditionalFormatting sqref="H41">
    <cfRule type="expression" dxfId="101" priority="100" stopIfTrue="1">
      <formula>IF(AND($E41&lt;$G41,ISNUMBER($E41),ISNUMBER($G41)),1,0)</formula>
    </cfRule>
    <cfRule type="expression" dxfId="100" priority="101" stopIfTrue="1">
      <formula>IF(AND($E41&gt;$G41,ISNUMBER($E41),ISNUMBER($G41)),1,0)</formula>
    </cfRule>
    <cfRule type="expression" dxfId="99" priority="102" stopIfTrue="1">
      <formula>IF(AND($E41=$G41,ISNUMBER($E41),ISNUMBER($G41)),1,0)</formula>
    </cfRule>
  </conditionalFormatting>
  <conditionalFormatting sqref="D41">
    <cfRule type="expression" dxfId="98" priority="97" stopIfTrue="1">
      <formula>IF(AND($E41&gt;$G41,ISNUMBER($E41),ISNUMBER($G41)),1,0)</formula>
    </cfRule>
    <cfRule type="expression" dxfId="97" priority="98" stopIfTrue="1">
      <formula>IF(AND($E41&lt;$G41,ISNUMBER($E41),ISNUMBER($G41)),1,0)</formula>
    </cfRule>
    <cfRule type="expression" dxfId="96" priority="99" stopIfTrue="1">
      <formula>IF(AND($E41=$G41,ISNUMBER($E41),ISNUMBER($G41)),1,0)</formula>
    </cfRule>
  </conditionalFormatting>
  <conditionalFormatting sqref="D38">
    <cfRule type="expression" dxfId="95" priority="94" stopIfTrue="1">
      <formula>IF(AND($E38&gt;$G38,ISNUMBER($E38),ISNUMBER($G38)),1,0)</formula>
    </cfRule>
    <cfRule type="expression" dxfId="94" priority="95" stopIfTrue="1">
      <formula>IF(AND($E38&lt;$G38,ISNUMBER($E38),ISNUMBER($G38)),1,0)</formula>
    </cfRule>
    <cfRule type="expression" dxfId="93" priority="96" stopIfTrue="1">
      <formula>IF(AND($E38=$G38,ISNUMBER($E38),ISNUMBER($G38)),1,0)</formula>
    </cfRule>
  </conditionalFormatting>
  <conditionalFormatting sqref="D42">
    <cfRule type="expression" dxfId="92" priority="91" stopIfTrue="1">
      <formula>IF(AND($E42&gt;$G42,ISNUMBER($E42),ISNUMBER($G42)),1,0)</formula>
    </cfRule>
    <cfRule type="expression" dxfId="91" priority="92" stopIfTrue="1">
      <formula>IF(AND($E42&lt;$G42,ISNUMBER($E42),ISNUMBER($G42)),1,0)</formula>
    </cfRule>
    <cfRule type="expression" dxfId="90" priority="93" stopIfTrue="1">
      <formula>IF(AND($E42=$G42,ISNUMBER($E42),ISNUMBER($G42)),1,0)</formula>
    </cfRule>
  </conditionalFormatting>
  <conditionalFormatting sqref="D43">
    <cfRule type="expression" dxfId="89" priority="88" stopIfTrue="1">
      <formula>IF(AND($E43&gt;$G43,ISNUMBER($E43),ISNUMBER($G43)),1,0)</formula>
    </cfRule>
    <cfRule type="expression" dxfId="88" priority="89" stopIfTrue="1">
      <formula>IF(AND($E43&lt;$G43,ISNUMBER($E43),ISNUMBER($G43)),1,0)</formula>
    </cfRule>
    <cfRule type="expression" dxfId="87" priority="90" stopIfTrue="1">
      <formula>IF(AND($E43=$G43,ISNUMBER($E43),ISNUMBER($G43)),1,0)</formula>
    </cfRule>
  </conditionalFormatting>
  <conditionalFormatting sqref="D45">
    <cfRule type="expression" dxfId="86" priority="85" stopIfTrue="1">
      <formula>IF(AND($E45&gt;$G45,ISNUMBER($E45),ISNUMBER($G45)),1,0)</formula>
    </cfRule>
    <cfRule type="expression" dxfId="85" priority="86" stopIfTrue="1">
      <formula>IF(AND($E45&lt;$G45,ISNUMBER($E45),ISNUMBER($G45)),1,0)</formula>
    </cfRule>
    <cfRule type="expression" dxfId="84" priority="87" stopIfTrue="1">
      <formula>IF(AND($E45=$G45,ISNUMBER($E45),ISNUMBER($G45)),1,0)</formula>
    </cfRule>
  </conditionalFormatting>
  <conditionalFormatting sqref="D46">
    <cfRule type="expression" dxfId="83" priority="82" stopIfTrue="1">
      <formula>IF(AND($E46&gt;$G46,ISNUMBER($E46),ISNUMBER($G46)),1,0)</formula>
    </cfRule>
    <cfRule type="expression" dxfId="82" priority="83" stopIfTrue="1">
      <formula>IF(AND($E46&lt;$G46,ISNUMBER($E46),ISNUMBER($G46)),1,0)</formula>
    </cfRule>
    <cfRule type="expression" dxfId="81" priority="84" stopIfTrue="1">
      <formula>IF(AND($E46=$G46,ISNUMBER($E46),ISNUMBER($G46)),1,0)</formula>
    </cfRule>
  </conditionalFormatting>
  <conditionalFormatting sqref="H42">
    <cfRule type="expression" dxfId="80" priority="79" stopIfTrue="1">
      <formula>IF(AND($E42&lt;$G42,ISNUMBER($E42),ISNUMBER($G42)),1,0)</formula>
    </cfRule>
    <cfRule type="expression" dxfId="79" priority="80" stopIfTrue="1">
      <formula>IF(AND($E42&gt;$G42,ISNUMBER($E42),ISNUMBER($G42)),1,0)</formula>
    </cfRule>
    <cfRule type="expression" dxfId="78" priority="81" stopIfTrue="1">
      <formula>IF(AND($E42=$G42,ISNUMBER($E42),ISNUMBER($G42)),1,0)</formula>
    </cfRule>
  </conditionalFormatting>
  <conditionalFormatting sqref="H43">
    <cfRule type="expression" dxfId="77" priority="76" stopIfTrue="1">
      <formula>IF(AND($E43&lt;$G43,ISNUMBER($E43),ISNUMBER($G43)),1,0)</formula>
    </cfRule>
    <cfRule type="expression" dxfId="76" priority="77" stopIfTrue="1">
      <formula>IF(AND($E43&gt;$G43,ISNUMBER($E43),ISNUMBER($G43)),1,0)</formula>
    </cfRule>
    <cfRule type="expression" dxfId="75" priority="78" stopIfTrue="1">
      <formula>IF(AND($E43=$G43,ISNUMBER($E43),ISNUMBER($G43)),1,0)</formula>
    </cfRule>
  </conditionalFormatting>
  <conditionalFormatting sqref="H44">
    <cfRule type="expression" dxfId="74" priority="73" stopIfTrue="1">
      <formula>IF(AND($E44&lt;$G44,ISNUMBER($E44),ISNUMBER($G44)),1,0)</formula>
    </cfRule>
    <cfRule type="expression" dxfId="73" priority="74" stopIfTrue="1">
      <formula>IF(AND($E44&gt;$G44,ISNUMBER($E44),ISNUMBER($G44)),1,0)</formula>
    </cfRule>
    <cfRule type="expression" dxfId="72" priority="75" stopIfTrue="1">
      <formula>IF(AND($E44=$G44,ISNUMBER($E44),ISNUMBER($G44)),1,0)</formula>
    </cfRule>
  </conditionalFormatting>
  <conditionalFormatting sqref="H46">
    <cfRule type="expression" dxfId="71" priority="70" stopIfTrue="1">
      <formula>IF(AND($E46&lt;$G46,ISNUMBER($E46),ISNUMBER($G46)),1,0)</formula>
    </cfRule>
    <cfRule type="expression" dxfId="70" priority="71" stopIfTrue="1">
      <formula>IF(AND($E46&gt;$G46,ISNUMBER($E46),ISNUMBER($G46)),1,0)</formula>
    </cfRule>
    <cfRule type="expression" dxfId="69" priority="72" stopIfTrue="1">
      <formula>IF(AND($E46=$G46,ISNUMBER($E46),ISNUMBER($G46)),1,0)</formula>
    </cfRule>
  </conditionalFormatting>
  <conditionalFormatting sqref="H47">
    <cfRule type="expression" dxfId="68" priority="67" stopIfTrue="1">
      <formula>IF(AND($E47&lt;$G47,ISNUMBER($E47),ISNUMBER($G47)),1,0)</formula>
    </cfRule>
    <cfRule type="expression" dxfId="67" priority="68" stopIfTrue="1">
      <formula>IF(AND($E47&gt;$G47,ISNUMBER($E47),ISNUMBER($G47)),1,0)</formula>
    </cfRule>
    <cfRule type="expression" dxfId="66" priority="69" stopIfTrue="1">
      <formula>IF(AND($E47=$G47,ISNUMBER($E47),ISNUMBER($G47)),1,0)</formula>
    </cfRule>
  </conditionalFormatting>
  <conditionalFormatting sqref="H48">
    <cfRule type="expression" dxfId="65" priority="64" stopIfTrue="1">
      <formula>IF(AND($E48&lt;$G48,ISNUMBER($E48),ISNUMBER($G48)),1,0)</formula>
    </cfRule>
    <cfRule type="expression" dxfId="64" priority="65" stopIfTrue="1">
      <formula>IF(AND($E48&gt;$G48,ISNUMBER($E48),ISNUMBER($G48)),1,0)</formula>
    </cfRule>
    <cfRule type="expression" dxfId="63" priority="66" stopIfTrue="1">
      <formula>IF(AND($E48=$G48,ISNUMBER($E48),ISNUMBER($G48)),1,0)</formula>
    </cfRule>
  </conditionalFormatting>
  <conditionalFormatting sqref="H50">
    <cfRule type="expression" dxfId="62" priority="61" stopIfTrue="1">
      <formula>IF(AND($E50&lt;$G50,ISNUMBER($E50),ISNUMBER($G50)),1,0)</formula>
    </cfRule>
    <cfRule type="expression" dxfId="61" priority="62" stopIfTrue="1">
      <formula>IF(AND($E50&gt;$G50,ISNUMBER($E50),ISNUMBER($G50)),1,0)</formula>
    </cfRule>
    <cfRule type="expression" dxfId="60" priority="63" stopIfTrue="1">
      <formula>IF(AND($E50=$G50,ISNUMBER($E50),ISNUMBER($G50)),1,0)</formula>
    </cfRule>
  </conditionalFormatting>
  <conditionalFormatting sqref="H51">
    <cfRule type="expression" dxfId="59" priority="58" stopIfTrue="1">
      <formula>IF(AND($E51&lt;$G51,ISNUMBER($E51),ISNUMBER($G51)),1,0)</formula>
    </cfRule>
    <cfRule type="expression" dxfId="58" priority="59" stopIfTrue="1">
      <formula>IF(AND($E51&gt;$G51,ISNUMBER($E51),ISNUMBER($G51)),1,0)</formula>
    </cfRule>
    <cfRule type="expression" dxfId="57" priority="60" stopIfTrue="1">
      <formula>IF(AND($E51=$G51,ISNUMBER($E51),ISNUMBER($G51)),1,0)</formula>
    </cfRule>
  </conditionalFormatting>
  <conditionalFormatting sqref="D49">
    <cfRule type="expression" dxfId="56" priority="55" stopIfTrue="1">
      <formula>IF(AND($E49&gt;$G49,ISNUMBER($E49),ISNUMBER($G49)),1,0)</formula>
    </cfRule>
    <cfRule type="expression" dxfId="55" priority="56" stopIfTrue="1">
      <formula>IF(AND($E49&lt;$G49,ISNUMBER($E49),ISNUMBER($G49)),1,0)</formula>
    </cfRule>
    <cfRule type="expression" dxfId="54" priority="57" stopIfTrue="1">
      <formula>IF(AND($E49=$G49,ISNUMBER($E49),ISNUMBER($G49)),1,0)</formula>
    </cfRule>
  </conditionalFormatting>
  <conditionalFormatting sqref="D50">
    <cfRule type="expression" dxfId="53" priority="52" stopIfTrue="1">
      <formula>IF(AND($E50&gt;$G50,ISNUMBER($E50),ISNUMBER($G50)),1,0)</formula>
    </cfRule>
    <cfRule type="expression" dxfId="52" priority="53" stopIfTrue="1">
      <formula>IF(AND($E50&lt;$G50,ISNUMBER($E50),ISNUMBER($G50)),1,0)</formula>
    </cfRule>
    <cfRule type="expression" dxfId="51" priority="54" stopIfTrue="1">
      <formula>IF(AND($E50=$G50,ISNUMBER($E50),ISNUMBER($G50)),1,0)</formula>
    </cfRule>
  </conditionalFormatting>
  <conditionalFormatting sqref="D51">
    <cfRule type="expression" dxfId="50" priority="49" stopIfTrue="1">
      <formula>IF(AND($E51&gt;$G51,ISNUMBER($E51),ISNUMBER($G51)),1,0)</formula>
    </cfRule>
    <cfRule type="expression" dxfId="49" priority="50" stopIfTrue="1">
      <formula>IF(AND($E51&lt;$G51,ISNUMBER($E51),ISNUMBER($G51)),1,0)</formula>
    </cfRule>
    <cfRule type="expression" dxfId="48" priority="51" stopIfTrue="1">
      <formula>IF(AND($E51=$G51,ISNUMBER($E51),ISNUMBER($G51)),1,0)</formula>
    </cfRule>
  </conditionalFormatting>
  <conditionalFormatting sqref="D52">
    <cfRule type="expression" dxfId="47" priority="46" stopIfTrue="1">
      <formula>IF(AND($E52&gt;$G52,ISNUMBER($E52),ISNUMBER($G52)),1,0)</formula>
    </cfRule>
    <cfRule type="expression" dxfId="46" priority="47" stopIfTrue="1">
      <formula>IF(AND($E52&lt;$G52,ISNUMBER($E52),ISNUMBER($G52)),1,0)</formula>
    </cfRule>
    <cfRule type="expression" dxfId="45" priority="48" stopIfTrue="1">
      <formula>IF(AND($E52=$G52,ISNUMBER($E52),ISNUMBER($G52)),1,0)</formula>
    </cfRule>
  </conditionalFormatting>
  <conditionalFormatting sqref="D53">
    <cfRule type="expression" dxfId="44" priority="43" stopIfTrue="1">
      <formula>IF(AND($E53&gt;$G53,ISNUMBER($E53),ISNUMBER($G53)),1,0)</formula>
    </cfRule>
    <cfRule type="expression" dxfId="43" priority="44" stopIfTrue="1">
      <formula>IF(AND($E53&lt;$G53,ISNUMBER($E53),ISNUMBER($G53)),1,0)</formula>
    </cfRule>
    <cfRule type="expression" dxfId="42" priority="45" stopIfTrue="1">
      <formula>IF(AND($E53=$G53,ISNUMBER($E53),ISNUMBER($G53)),1,0)</formula>
    </cfRule>
  </conditionalFormatting>
  <conditionalFormatting sqref="D54">
    <cfRule type="expression" dxfId="41" priority="40" stopIfTrue="1">
      <formula>IF(AND($E54&gt;$G54,ISNUMBER($E54),ISNUMBER($G54)),1,0)</formula>
    </cfRule>
    <cfRule type="expression" dxfId="40" priority="41" stopIfTrue="1">
      <formula>IF(AND($E54&lt;$G54,ISNUMBER($E54),ISNUMBER($G54)),1,0)</formula>
    </cfRule>
    <cfRule type="expression" dxfId="39" priority="42" stopIfTrue="1">
      <formula>IF(AND($E54=$G54,ISNUMBER($E54),ISNUMBER($G54)),1,0)</formula>
    </cfRule>
  </conditionalFormatting>
  <conditionalFormatting sqref="H52">
    <cfRule type="expression" dxfId="38" priority="37" stopIfTrue="1">
      <formula>IF(AND($E52&lt;$G52,ISNUMBER($E52),ISNUMBER($G52)),1,0)</formula>
    </cfRule>
    <cfRule type="expression" dxfId="37" priority="38" stopIfTrue="1">
      <formula>IF(AND($E52&gt;$G52,ISNUMBER($E52),ISNUMBER($G52)),1,0)</formula>
    </cfRule>
    <cfRule type="expression" dxfId="36" priority="39" stopIfTrue="1">
      <formula>IF(AND($E52=$G52,ISNUMBER($E52),ISNUMBER($G52)),1,0)</formula>
    </cfRule>
  </conditionalFormatting>
  <conditionalFormatting sqref="H54">
    <cfRule type="expression" dxfId="35" priority="34" stopIfTrue="1">
      <formula>IF(AND($E54&lt;$G54,ISNUMBER($E54),ISNUMBER($G54)),1,0)</formula>
    </cfRule>
    <cfRule type="expression" dxfId="34" priority="35" stopIfTrue="1">
      <formula>IF(AND($E54&gt;$G54,ISNUMBER($E54),ISNUMBER($G54)),1,0)</formula>
    </cfRule>
    <cfRule type="expression" dxfId="33" priority="36" stopIfTrue="1">
      <formula>IF(AND($E54=$G54,ISNUMBER($E54),ISNUMBER($G54)),1,0)</formula>
    </cfRule>
  </conditionalFormatting>
  <conditionalFormatting sqref="H55">
    <cfRule type="expression" dxfId="32" priority="31" stopIfTrue="1">
      <formula>IF(AND($E55&lt;$G55,ISNUMBER($E55),ISNUMBER($G55)),1,0)</formula>
    </cfRule>
    <cfRule type="expression" dxfId="31" priority="32" stopIfTrue="1">
      <formula>IF(AND($E55&gt;$G55,ISNUMBER($E55),ISNUMBER($G55)),1,0)</formula>
    </cfRule>
    <cfRule type="expression" dxfId="30" priority="33" stopIfTrue="1">
      <formula>IF(AND($E55=$G55,ISNUMBER($E55),ISNUMBER($G55)),1,0)</formula>
    </cfRule>
  </conditionalFormatting>
  <conditionalFormatting sqref="H56">
    <cfRule type="expression" dxfId="29" priority="28" stopIfTrue="1">
      <formula>IF(AND($E56&lt;$G56,ISNUMBER($E56),ISNUMBER($G56)),1,0)</formula>
    </cfRule>
    <cfRule type="expression" dxfId="28" priority="29" stopIfTrue="1">
      <formula>IF(AND($E56&gt;$G56,ISNUMBER($E56),ISNUMBER($G56)),1,0)</formula>
    </cfRule>
    <cfRule type="expression" dxfId="27" priority="30" stopIfTrue="1">
      <formula>IF(AND($E56=$G56,ISNUMBER($E56),ISNUMBER($G56)),1,0)</formula>
    </cfRule>
  </conditionalFormatting>
  <conditionalFormatting sqref="H57">
    <cfRule type="expression" dxfId="26" priority="25" stopIfTrue="1">
      <formula>IF(AND($E57&lt;$G57,ISNUMBER($E57),ISNUMBER($G57)),1,0)</formula>
    </cfRule>
    <cfRule type="expression" dxfId="25" priority="26" stopIfTrue="1">
      <formula>IF(AND($E57&gt;$G57,ISNUMBER($E57),ISNUMBER($G57)),1,0)</formula>
    </cfRule>
    <cfRule type="expression" dxfId="24" priority="27" stopIfTrue="1">
      <formula>IF(AND($E57=$G57,ISNUMBER($E57),ISNUMBER($G57)),1,0)</formula>
    </cfRule>
  </conditionalFormatting>
  <conditionalFormatting sqref="H58">
    <cfRule type="expression" dxfId="23" priority="22" stopIfTrue="1">
      <formula>IF(AND($E58&lt;$G58,ISNUMBER($E58),ISNUMBER($G58)),1,0)</formula>
    </cfRule>
    <cfRule type="expression" dxfId="22" priority="23" stopIfTrue="1">
      <formula>IF(AND($E58&gt;$G58,ISNUMBER($E58),ISNUMBER($G58)),1,0)</formula>
    </cfRule>
    <cfRule type="expression" dxfId="21" priority="24" stopIfTrue="1">
      <formula>IF(AND($E58=$G58,ISNUMBER($E58),ISNUMBER($G58)),1,0)</formula>
    </cfRule>
  </conditionalFormatting>
  <conditionalFormatting sqref="H60">
    <cfRule type="expression" dxfId="20" priority="19" stopIfTrue="1">
      <formula>IF(AND($E60&lt;$G60,ISNUMBER($E60),ISNUMBER($G60)),1,0)</formula>
    </cfRule>
    <cfRule type="expression" dxfId="19" priority="20" stopIfTrue="1">
      <formula>IF(AND($E60&gt;$G60,ISNUMBER($E60),ISNUMBER($G60)),1,0)</formula>
    </cfRule>
    <cfRule type="expression" dxfId="18" priority="21" stopIfTrue="1">
      <formula>IF(AND($E60=$G60,ISNUMBER($E60),ISNUMBER($G60)),1,0)</formula>
    </cfRule>
  </conditionalFormatting>
  <conditionalFormatting sqref="H61">
    <cfRule type="expression" dxfId="17" priority="16" stopIfTrue="1">
      <formula>IF(AND($E61&lt;$G61,ISNUMBER($E61),ISNUMBER($G61)),1,0)</formula>
    </cfRule>
    <cfRule type="expression" dxfId="16" priority="17" stopIfTrue="1">
      <formula>IF(AND($E61&gt;$G61,ISNUMBER($E61),ISNUMBER($G61)),1,0)</formula>
    </cfRule>
    <cfRule type="expression" dxfId="15" priority="18" stopIfTrue="1">
      <formula>IF(AND($E61=$G61,ISNUMBER($E61),ISNUMBER($G61)),1,0)</formula>
    </cfRule>
  </conditionalFormatting>
  <conditionalFormatting sqref="D57">
    <cfRule type="expression" dxfId="14" priority="13" stopIfTrue="1">
      <formula>IF(AND($E57&gt;$G57,ISNUMBER($E57),ISNUMBER($G57)),1,0)</formula>
    </cfRule>
    <cfRule type="expression" dxfId="13" priority="14" stopIfTrue="1">
      <formula>IF(AND($E57&lt;$G57,ISNUMBER($E57),ISNUMBER($G57)),1,0)</formula>
    </cfRule>
    <cfRule type="expression" dxfId="12" priority="15" stopIfTrue="1">
      <formula>IF(AND($E57=$G57,ISNUMBER($E57),ISNUMBER($G57)),1,0)</formula>
    </cfRule>
  </conditionalFormatting>
  <conditionalFormatting sqref="D60">
    <cfRule type="expression" dxfId="11" priority="10" stopIfTrue="1">
      <formula>IF(AND($E60&gt;$G60,ISNUMBER($E60),ISNUMBER($G60)),1,0)</formula>
    </cfRule>
    <cfRule type="expression" dxfId="10" priority="11" stopIfTrue="1">
      <formula>IF(AND($E60&lt;$G60,ISNUMBER($E60),ISNUMBER($G60)),1,0)</formula>
    </cfRule>
    <cfRule type="expression" dxfId="9" priority="12" stopIfTrue="1">
      <formula>IF(AND($E60=$G60,ISNUMBER($E60),ISNUMBER($G60)),1,0)</formula>
    </cfRule>
  </conditionalFormatting>
  <conditionalFormatting sqref="D61">
    <cfRule type="expression" dxfId="8" priority="7" stopIfTrue="1">
      <formula>IF(AND($E61&gt;$G61,ISNUMBER($E61),ISNUMBER($G61)),1,0)</formula>
    </cfRule>
    <cfRule type="expression" dxfId="7" priority="8" stopIfTrue="1">
      <formula>IF(AND($E61&lt;$G61,ISNUMBER($E61),ISNUMBER($G61)),1,0)</formula>
    </cfRule>
    <cfRule type="expression" dxfId="6" priority="9" stopIfTrue="1">
      <formula>IF(AND($E61=$G61,ISNUMBER($E61),ISNUMBER($G61)),1,0)</formula>
    </cfRule>
  </conditionalFormatting>
  <conditionalFormatting sqref="H31">
    <cfRule type="expression" dxfId="5" priority="4" stopIfTrue="1">
      <formula>IF(AND($E31&lt;$G31,ISNUMBER($E31),ISNUMBER($G31)),1,0)</formula>
    </cfRule>
    <cfRule type="expression" dxfId="4" priority="5" stopIfTrue="1">
      <formula>IF(AND($E31&gt;$G31,ISNUMBER($E31),ISNUMBER($G31)),1,0)</formula>
    </cfRule>
    <cfRule type="expression" dxfId="3" priority="6" stopIfTrue="1">
      <formula>IF(AND($E31=$G31,ISNUMBER($E31),ISNUMBER($G31)),1,0)</formula>
    </cfRule>
  </conditionalFormatting>
  <conditionalFormatting sqref="H32">
    <cfRule type="expression" dxfId="2" priority="1" stopIfTrue="1">
      <formula>IF(AND($E32&lt;$G32,ISNUMBER($E32),ISNUMBER($G32)),1,0)</formula>
    </cfRule>
    <cfRule type="expression" dxfId="1" priority="2" stopIfTrue="1">
      <formula>IF(AND($E32&gt;$G32,ISNUMBER($E32),ISNUMBER($G32)),1,0)</formula>
    </cfRule>
    <cfRule type="expression" dxfId="0" priority="3" stopIfTrue="1">
      <formula>IF(AND($E32=$G32,ISNUMBER($E32),ISNUMBER($G32)),1,0)</formula>
    </cfRule>
  </conditionalFormatting>
  <dataValidations count="2">
    <dataValidation type="list" allowBlank="1" showInputMessage="1" showErrorMessage="1" sqref="F82 F66:F69 F78 F73:F74 F7:F62" xr:uid="{00000000-0002-0000-0200-000000000000}">
      <formula1>"OT"</formula1>
    </dataValidation>
    <dataValidation type="list" allowBlank="1" showInputMessage="1" showErrorMessage="1" sqref="E82 G82 G78 E78 E73:E74 G73:G74 G66:G69 E66:E69 E7:E62 G7:G62" xr:uid="{00000000-0002-0000-0200-000001000000}">
      <formula1>"0,1,2,3,4,5,6,7,8,9,10,11,12,13,14,15,16,17,18,19,20"</formula1>
    </dataValidation>
  </dataValidations>
  <hyperlinks>
    <hyperlink ref="P3" location="Settings!C4" tooltip="Settings" display="Settings!C4" xr:uid="{00000000-0004-0000-0200-000000000000}"/>
    <hyperlink ref="K28:R34" r:id="rId1" tooltip="International Ice Hockey Federation (IIHF)" display="International Ice Hockey Federation (IIHF)" xr:uid="{00000000-0004-0000-0200-000001000000}"/>
    <hyperlink ref="K5:R5" r:id="rId2" tooltip="Excel Schedule" display="Home Page: www.excely.com" xr:uid="{00000000-0004-0000-0200-000002000000}"/>
    <hyperlink ref="K5:R6" r:id="rId3" tooltip="World Chamiponship Schedule" display="Home Page: www.excely.com" xr:uid="{00000000-0004-0000-0200-000003000000}"/>
    <hyperlink ref="K36:R39" r:id="rId4" tooltip="Wallchart.io - 2020 IIHF World Championship Interactive Schedule" display="https://www.wallchart.io/ice-hockey/world-championship-2020.html" xr:uid="{00000000-0004-0000-0200-000004000000}"/>
  </hyperlinks>
  <pageMargins left="0.59055118110236204" right="0.59055118110236204" top="0.78740157480314998" bottom="0.78740157480314998" header="0.511811023622047" footer="0.511811023622047"/>
  <pageSetup paperSize="9" scale="66" orientation="portrait" r:id="rId5"/>
  <headerFooter alignWithMargins="0">
    <oddFooter>&amp;CExcely.com (c) 2013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T</vt:lpstr>
      <vt:lpstr>Settings</vt:lpstr>
      <vt:lpstr>World Championship 2020</vt:lpstr>
      <vt:lpstr>gmt_delta</vt:lpstr>
      <vt:lpstr>goal_away</vt:lpstr>
      <vt:lpstr>goal_away_a</vt:lpstr>
      <vt:lpstr>goal_away_b</vt:lpstr>
      <vt:lpstr>goal_away2</vt:lpstr>
      <vt:lpstr>goal_home</vt:lpstr>
      <vt:lpstr>goal_home_a</vt:lpstr>
      <vt:lpstr>goal_home_b</vt:lpstr>
      <vt:lpstr>goal_home2</vt:lpstr>
      <vt:lpstr>lang</vt:lpstr>
      <vt:lpstr>lang_list</vt:lpstr>
      <vt:lpstr>T</vt:lpstr>
      <vt:lpstr>team_away</vt:lpstr>
      <vt:lpstr>team_away2</vt:lpstr>
      <vt:lpstr>team_home</vt:lpstr>
      <vt:lpstr>team_home2</vt:lpstr>
      <vt:lpstr>wdl</vt:lpstr>
      <vt:lpstr>wdl_a</vt:lpstr>
      <vt:lpstr>wdl_b</vt:lpstr>
      <vt:lpstr>'World Championship 2020'!Область_печати</vt:lpstr>
    </vt:vector>
  </TitlesOfParts>
  <Company>Excely.com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Ice Hockey World Cup 2009 Schedule</dc:title>
  <dc:creator>Denis Kozyr</dc:creator>
  <cp:lastModifiedBy>Yegor _</cp:lastModifiedBy>
  <cp:lastPrinted>2008-10-31T15:40:36Z</cp:lastPrinted>
  <dcterms:created xsi:type="dcterms:W3CDTF">2008-09-24T12:14:29Z</dcterms:created>
  <dcterms:modified xsi:type="dcterms:W3CDTF">2020-02-26T20:27:31Z</dcterms:modified>
</cp:coreProperties>
</file>