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AB0A6E05-75BB-4920-B55E-48126FE57E2A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T" sheetId="1" state="hidden" r:id="rId1"/>
    <sheet name="Settings" sheetId="2" r:id="rId2"/>
    <sheet name="2026 World Cup" sheetId="3" r:id="rId3"/>
    <sheet name="3rd places" sheetId="4" r:id="rId4"/>
  </sheets>
  <definedNames>
    <definedName name="db_fifarank">Settings!$B$17:$C$64</definedName>
    <definedName name="gmt_delta">Settings!$G$16</definedName>
    <definedName name="group_round_completed">'2026 World Cup'!$AO$92</definedName>
    <definedName name="lang">Settings!$G$15</definedName>
    <definedName name="lang_list">T!$1:$1</definedName>
    <definedName name="my_team">Settings!$I$15</definedName>
    <definedName name="T">T!$1:$1048576</definedName>
    <definedName name="teams">Settings!$I$17:$I$64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8" i="3" l="1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BY56" i="3"/>
  <c r="BY55" i="3"/>
  <c r="BY24" i="3"/>
  <c r="BY23" i="3"/>
  <c r="CF49" i="3"/>
  <c r="CF48" i="3"/>
  <c r="CF38" i="3"/>
  <c r="CF37" i="3"/>
  <c r="BR65" i="3"/>
  <c r="BR64" i="3"/>
  <c r="BK69" i="3"/>
  <c r="BK68" i="3"/>
  <c r="BK61" i="3"/>
  <c r="BK60" i="3"/>
  <c r="BK53" i="3"/>
  <c r="BK52" i="3"/>
  <c r="BR49" i="3"/>
  <c r="BR48" i="3"/>
  <c r="BK45" i="3"/>
  <c r="BK44" i="3"/>
  <c r="BK37" i="3"/>
  <c r="BK36" i="3"/>
  <c r="BR33" i="3"/>
  <c r="BR32" i="3"/>
  <c r="BK29" i="3"/>
  <c r="BK28" i="3"/>
  <c r="BR17" i="3"/>
  <c r="BR16" i="3"/>
  <c r="BK21" i="3"/>
  <c r="BK20" i="3"/>
  <c r="BK13" i="3"/>
  <c r="BK12" i="3"/>
  <c r="BD71" i="3"/>
  <c r="BD70" i="3"/>
  <c r="BD67" i="3"/>
  <c r="BD66" i="3"/>
  <c r="BD63" i="3"/>
  <c r="BD62" i="3"/>
  <c r="BD59" i="3"/>
  <c r="BD58" i="3"/>
  <c r="BD55" i="3"/>
  <c r="BD54" i="3"/>
  <c r="BD51" i="3"/>
  <c r="BD50" i="3"/>
  <c r="BD47" i="3"/>
  <c r="BD46" i="3"/>
  <c r="BD43" i="3"/>
  <c r="BD42" i="3"/>
  <c r="BD39" i="3"/>
  <c r="BD38" i="3"/>
  <c r="BD35" i="3"/>
  <c r="BD34" i="3"/>
  <c r="BD31" i="3"/>
  <c r="BD30" i="3"/>
  <c r="BD27" i="3"/>
  <c r="BD26" i="3"/>
  <c r="BD23" i="3"/>
  <c r="BD22" i="3"/>
  <c r="BD19" i="3"/>
  <c r="BD18" i="3"/>
  <c r="BD15" i="3"/>
  <c r="BD14" i="3"/>
  <c r="BD11" i="3"/>
  <c r="BD10" i="3"/>
  <c r="J80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46" i="3"/>
  <c r="Y45" i="3"/>
  <c r="Y44" i="3"/>
  <c r="Y43" i="3"/>
  <c r="Y42" i="3"/>
  <c r="Y41" i="3"/>
  <c r="Y40" i="3"/>
  <c r="Y39" i="3"/>
  <c r="Y38" i="3"/>
  <c r="Y37" i="3"/>
  <c r="Y36" i="3"/>
  <c r="Y35" i="3"/>
  <c r="Y34" i="3"/>
  <c r="Y33" i="3"/>
  <c r="Y32" i="3"/>
  <c r="Y31" i="3"/>
  <c r="Y30" i="3"/>
  <c r="Y29" i="3"/>
  <c r="Y28" i="3"/>
  <c r="Y27" i="3"/>
  <c r="Y26" i="3"/>
  <c r="Y25" i="3"/>
  <c r="Y24" i="3"/>
  <c r="Y23" i="3"/>
  <c r="Y22" i="3"/>
  <c r="Y21" i="3"/>
  <c r="Y20" i="3"/>
  <c r="Y19" i="3"/>
  <c r="Y18" i="3"/>
  <c r="Y17" i="3"/>
  <c r="Y16" i="3"/>
  <c r="Y15" i="3"/>
  <c r="Y14" i="3"/>
  <c r="Y13" i="3"/>
  <c r="Y12" i="3"/>
  <c r="Y11" i="3"/>
  <c r="Y10" i="3"/>
  <c r="Y9" i="3"/>
  <c r="Y8" i="3"/>
  <c r="Y7" i="3"/>
  <c r="O3" i="3" l="1"/>
  <c r="G65" i="2"/>
  <c r="G16" i="2"/>
  <c r="G15" i="2"/>
  <c r="B63" i="2" l="1"/>
  <c r="B59" i="2"/>
  <c r="B56" i="2"/>
  <c r="B50" i="2"/>
  <c r="B49" i="2"/>
  <c r="B48" i="2"/>
  <c r="BF6" i="3" a="1"/>
  <c r="BF6" i="3" s="1"/>
  <c r="BM6" i="3" a="1"/>
  <c r="BM6" i="3" s="1"/>
  <c r="BT6" i="3" a="1"/>
  <c r="BT6" i="3" s="1"/>
  <c r="AY9" i="3" a="1"/>
  <c r="AY9" i="3" s="1"/>
  <c r="BF11" i="3" a="1"/>
  <c r="BF11" i="3" s="1"/>
  <c r="AY13" i="3" a="1"/>
  <c r="AY13" i="3" s="1"/>
  <c r="BM15" i="3" a="1"/>
  <c r="BM15" i="3" s="1"/>
  <c r="AY17" i="3" a="1"/>
  <c r="AY17" i="3" s="1"/>
  <c r="BF19" i="3" a="1"/>
  <c r="BF19" i="3" s="1"/>
  <c r="AY21" i="3" a="1"/>
  <c r="AY21" i="3" s="1"/>
  <c r="BT22" i="3" a="1"/>
  <c r="BT22" i="3" s="1"/>
  <c r="AY25" i="3" a="1"/>
  <c r="AY25" i="3" s="1"/>
  <c r="BF27" i="3" a="1"/>
  <c r="BF27" i="3" s="1"/>
  <c r="AY29" i="3" a="1"/>
  <c r="AY29" i="3" s="1"/>
  <c r="BM31" i="3" a="1"/>
  <c r="BM31" i="3" s="1"/>
  <c r="AY33" i="3" a="1"/>
  <c r="AY33" i="3" s="1"/>
  <c r="CA33" i="3" a="1"/>
  <c r="CA33" i="3" s="1"/>
  <c r="BF35" i="3" a="1"/>
  <c r="BF35" i="3" s="1"/>
  <c r="CA36" i="3" a="1"/>
  <c r="CA36" i="3" s="1"/>
  <c r="AY37" i="3" a="1"/>
  <c r="AY37" i="3" s="1"/>
  <c r="AY41" i="3" a="1"/>
  <c r="AY41" i="3" s="1"/>
  <c r="BF43" i="3" a="1"/>
  <c r="BF43" i="3" s="1"/>
  <c r="CA44" i="3" a="1"/>
  <c r="CA44" i="3" s="1"/>
  <c r="AY45" i="3" a="1"/>
  <c r="AY45" i="3" s="1"/>
  <c r="BM47" i="3" a="1"/>
  <c r="BM47" i="3" s="1"/>
  <c r="CA47" i="3" a="1"/>
  <c r="CA47" i="3" s="1"/>
  <c r="AY49" i="3" a="1"/>
  <c r="AY49" i="3" s="1"/>
  <c r="BF51" i="3" a="1"/>
  <c r="BF51" i="3" s="1"/>
  <c r="AY53" i="3" a="1"/>
  <c r="AY53" i="3" s="1"/>
  <c r="BT54" i="3" a="1"/>
  <c r="BT54" i="3" s="1"/>
  <c r="AY57" i="3" a="1"/>
  <c r="AY57" i="3" s="1"/>
  <c r="BF59" i="3" a="1"/>
  <c r="BF59" i="3" s="1"/>
  <c r="AY61" i="3" a="1"/>
  <c r="AY61" i="3" s="1"/>
  <c r="BM63" i="3" a="1"/>
  <c r="BM63" i="3" s="1"/>
  <c r="AY65" i="3" a="1"/>
  <c r="AY65" i="3" s="1"/>
  <c r="BF67" i="3" a="1"/>
  <c r="BF67" i="3" s="1"/>
  <c r="AY69" i="3" a="1"/>
  <c r="AY69" i="3" s="1"/>
  <c r="P8" i="3" a="1"/>
  <c r="P8" i="3" s="1"/>
  <c r="O8" i="3" a="1"/>
  <c r="O8" i="3" s="1"/>
  <c r="N8" i="3" a="1"/>
  <c r="N8" i="3" s="1"/>
  <c r="M8" i="3" a="1"/>
  <c r="M8" i="3" s="1"/>
  <c r="L8" i="3" a="1"/>
  <c r="L8" i="3" s="1"/>
  <c r="K8" i="3" a="1"/>
  <c r="K8" i="3" s="1"/>
  <c r="P14" i="3" a="1"/>
  <c r="P14" i="3" s="1"/>
  <c r="O14" i="3" a="1"/>
  <c r="O14" i="3" s="1"/>
  <c r="N14" i="3" a="1"/>
  <c r="N14" i="3" s="1"/>
  <c r="M14" i="3" a="1"/>
  <c r="M14" i="3" s="1"/>
  <c r="L14" i="3" a="1"/>
  <c r="L14" i="3" s="1"/>
  <c r="K14" i="3" a="1"/>
  <c r="K14" i="3" s="1"/>
  <c r="P20" i="3" a="1"/>
  <c r="P20" i="3" s="1"/>
  <c r="O20" i="3" a="1"/>
  <c r="O20" i="3" s="1"/>
  <c r="N20" i="3" a="1"/>
  <c r="N20" i="3" s="1"/>
  <c r="M20" i="3" a="1"/>
  <c r="M20" i="3" s="1"/>
  <c r="L20" i="3" a="1"/>
  <c r="L20" i="3" s="1"/>
  <c r="K20" i="3" a="1"/>
  <c r="K20" i="3" s="1"/>
  <c r="P26" i="3" a="1"/>
  <c r="P26" i="3" s="1"/>
  <c r="O26" i="3" a="1"/>
  <c r="O26" i="3" s="1"/>
  <c r="N26" i="3" a="1"/>
  <c r="N26" i="3" s="1"/>
  <c r="M26" i="3" a="1"/>
  <c r="M26" i="3" s="1"/>
  <c r="L26" i="3" a="1"/>
  <c r="L26" i="3" s="1"/>
  <c r="K26" i="3" a="1"/>
  <c r="K26" i="3" s="1"/>
  <c r="P32" i="3" a="1"/>
  <c r="P32" i="3" s="1"/>
  <c r="O32" i="3" a="1"/>
  <c r="O32" i="3" s="1"/>
  <c r="N32" i="3" a="1"/>
  <c r="N32" i="3" s="1"/>
  <c r="M32" i="3" a="1"/>
  <c r="M32" i="3" s="1"/>
  <c r="L32" i="3" a="1"/>
  <c r="L32" i="3" s="1"/>
  <c r="K32" i="3" a="1"/>
  <c r="K32" i="3" s="1"/>
  <c r="P38" i="3" a="1"/>
  <c r="P38" i="3" s="1"/>
  <c r="O38" i="3" a="1"/>
  <c r="O38" i="3" s="1"/>
  <c r="N38" i="3" a="1"/>
  <c r="N38" i="3" s="1"/>
  <c r="M38" i="3" a="1"/>
  <c r="M38" i="3" s="1"/>
  <c r="L38" i="3" a="1"/>
  <c r="L38" i="3" s="1"/>
  <c r="K38" i="3" a="1"/>
  <c r="K38" i="3" s="1"/>
  <c r="P44" i="3" a="1"/>
  <c r="P44" i="3" s="1"/>
  <c r="O44" i="3" a="1"/>
  <c r="O44" i="3" s="1"/>
  <c r="N44" i="3" a="1"/>
  <c r="N44" i="3" s="1"/>
  <c r="M44" i="3" a="1"/>
  <c r="M44" i="3" s="1"/>
  <c r="L44" i="3" a="1"/>
  <c r="L44" i="3" s="1"/>
  <c r="K44" i="3" a="1"/>
  <c r="K44" i="3" s="1"/>
  <c r="P50" i="3" a="1"/>
  <c r="P50" i="3" s="1"/>
  <c r="O50" i="3" a="1"/>
  <c r="O50" i="3" s="1"/>
  <c r="N50" i="3" a="1"/>
  <c r="N50" i="3" s="1"/>
  <c r="M50" i="3" a="1"/>
  <c r="M50" i="3" s="1"/>
  <c r="L50" i="3" a="1"/>
  <c r="L50" i="3" s="1"/>
  <c r="K50" i="3" a="1"/>
  <c r="K50" i="3" s="1"/>
  <c r="P56" i="3" a="1"/>
  <c r="P56" i="3" s="1"/>
  <c r="O56" i="3" a="1"/>
  <c r="O56" i="3" s="1"/>
  <c r="N56" i="3" a="1"/>
  <c r="N56" i="3" s="1"/>
  <c r="M56" i="3" a="1"/>
  <c r="M56" i="3" s="1"/>
  <c r="L56" i="3" a="1"/>
  <c r="L56" i="3" s="1"/>
  <c r="K56" i="3" a="1"/>
  <c r="K56" i="3" s="1"/>
  <c r="P62" i="3" a="1"/>
  <c r="P62" i="3" s="1"/>
  <c r="O62" i="3" a="1"/>
  <c r="O62" i="3" s="1"/>
  <c r="N62" i="3" a="1"/>
  <c r="N62" i="3" s="1"/>
  <c r="M62" i="3" a="1"/>
  <c r="M62" i="3" s="1"/>
  <c r="L62" i="3" a="1"/>
  <c r="L62" i="3" s="1"/>
  <c r="K62" i="3" a="1"/>
  <c r="K62" i="3" s="1"/>
  <c r="P68" i="3" a="1"/>
  <c r="P68" i="3" s="1"/>
  <c r="O68" i="3" a="1"/>
  <c r="O68" i="3" s="1"/>
  <c r="N68" i="3" a="1"/>
  <c r="N68" i="3" s="1"/>
  <c r="M68" i="3" a="1"/>
  <c r="M68" i="3" s="1"/>
  <c r="L68" i="3" a="1"/>
  <c r="L68" i="3" s="1"/>
  <c r="K68" i="3" a="1"/>
  <c r="K68" i="3" s="1"/>
  <c r="P74" i="3" a="1"/>
  <c r="P74" i="3" s="1"/>
  <c r="O74" i="3" a="1"/>
  <c r="O74" i="3" s="1"/>
  <c r="N74" i="3" a="1"/>
  <c r="N74" i="3" s="1"/>
  <c r="M74" i="3" a="1"/>
  <c r="M74" i="3" s="1"/>
  <c r="L74" i="3" a="1"/>
  <c r="L74" i="3" s="1"/>
  <c r="K74" i="3" a="1"/>
  <c r="K74" i="3" s="1"/>
  <c r="P80" i="3" a="1"/>
  <c r="P80" i="3" s="1"/>
  <c r="O80" i="3" a="1"/>
  <c r="O80" i="3" s="1"/>
  <c r="N80" i="3" a="1"/>
  <c r="N80" i="3" s="1"/>
  <c r="M80" i="3" a="1"/>
  <c r="M80" i="3" s="1"/>
  <c r="L80" i="3" a="1"/>
  <c r="L80" i="3" s="1"/>
  <c r="K80" i="3" a="1"/>
  <c r="K80" i="3" s="1"/>
  <c r="J74" i="3" a="1"/>
  <c r="J74" i="3" s="1"/>
  <c r="J68" i="3" a="1"/>
  <c r="J68" i="3" s="1"/>
  <c r="J62" i="3" a="1"/>
  <c r="J62" i="3" s="1"/>
  <c r="J56" i="3" a="1"/>
  <c r="J56" i="3" s="1"/>
  <c r="J50" i="3" a="1"/>
  <c r="J50" i="3" s="1"/>
  <c r="J44" i="3" a="1"/>
  <c r="J44" i="3" s="1"/>
  <c r="J38" i="3" a="1"/>
  <c r="J38" i="3" s="1"/>
  <c r="J32" i="3" a="1"/>
  <c r="J32" i="3" s="1"/>
  <c r="J26" i="3" a="1"/>
  <c r="J26" i="3" s="1"/>
  <c r="J20" i="3" a="1"/>
  <c r="J20" i="3" s="1"/>
  <c r="J14" i="3" a="1"/>
  <c r="J14" i="3" s="1"/>
  <c r="J8" i="3" a="1"/>
  <c r="J8" i="3" s="1"/>
  <c r="C78" i="3" a="1"/>
  <c r="C78" i="3" s="1"/>
  <c r="B78" i="3" a="1"/>
  <c r="B78" i="3" s="1"/>
  <c r="C77" i="3" a="1"/>
  <c r="C77" i="3" s="1"/>
  <c r="B77" i="3" a="1"/>
  <c r="B77" i="3" s="1"/>
  <c r="C76" i="3" a="1"/>
  <c r="C76" i="3" s="1"/>
  <c r="B76" i="3" a="1"/>
  <c r="B76" i="3" s="1"/>
  <c r="C75" i="3" a="1"/>
  <c r="C75" i="3" s="1"/>
  <c r="B75" i="3" a="1"/>
  <c r="B75" i="3" s="1"/>
  <c r="C74" i="3" a="1"/>
  <c r="C74" i="3" s="1"/>
  <c r="B74" i="3" a="1"/>
  <c r="B74" i="3" s="1"/>
  <c r="C73" i="3" a="1"/>
  <c r="C73" i="3" s="1"/>
  <c r="B73" i="3" a="1"/>
  <c r="B73" i="3" s="1"/>
  <c r="C72" i="3" a="1"/>
  <c r="C72" i="3" s="1"/>
  <c r="B72" i="3" a="1"/>
  <c r="B72" i="3" s="1"/>
  <c r="C71" i="3" a="1"/>
  <c r="C71" i="3" s="1"/>
  <c r="B71" i="3" a="1"/>
  <c r="B71" i="3" s="1"/>
  <c r="C70" i="3" a="1"/>
  <c r="C70" i="3" s="1"/>
  <c r="B70" i="3" a="1"/>
  <c r="B70" i="3" s="1"/>
  <c r="C69" i="3" a="1"/>
  <c r="C69" i="3" s="1"/>
  <c r="B69" i="3" a="1"/>
  <c r="B69" i="3" s="1"/>
  <c r="C68" i="3" a="1"/>
  <c r="C68" i="3" s="1"/>
  <c r="B68" i="3" a="1"/>
  <c r="B68" i="3" s="1"/>
  <c r="C67" i="3" a="1"/>
  <c r="C67" i="3" s="1"/>
  <c r="B67" i="3" a="1"/>
  <c r="B67" i="3" s="1"/>
  <c r="C66" i="3" a="1"/>
  <c r="C66" i="3" s="1"/>
  <c r="B66" i="3" a="1"/>
  <c r="B66" i="3" s="1"/>
  <c r="C65" i="3" a="1"/>
  <c r="C65" i="3" s="1"/>
  <c r="B65" i="3" a="1"/>
  <c r="B65" i="3" s="1"/>
  <c r="C64" i="3" a="1"/>
  <c r="C64" i="3" s="1"/>
  <c r="B64" i="3" a="1"/>
  <c r="B64" i="3" s="1"/>
  <c r="C63" i="3" a="1"/>
  <c r="C63" i="3" s="1"/>
  <c r="B63" i="3" a="1"/>
  <c r="B63" i="3" s="1"/>
  <c r="C62" i="3" a="1"/>
  <c r="C62" i="3" s="1"/>
  <c r="B62" i="3" a="1"/>
  <c r="B62" i="3" s="1"/>
  <c r="C61" i="3" a="1"/>
  <c r="C61" i="3" s="1"/>
  <c r="B61" i="3" a="1"/>
  <c r="B61" i="3" s="1"/>
  <c r="C60" i="3" a="1"/>
  <c r="C60" i="3" s="1"/>
  <c r="B60" i="3" a="1"/>
  <c r="B60" i="3" s="1"/>
  <c r="C59" i="3" a="1"/>
  <c r="C59" i="3" s="1"/>
  <c r="B59" i="3" a="1"/>
  <c r="B59" i="3" s="1"/>
  <c r="C58" i="3" a="1"/>
  <c r="C58" i="3" s="1"/>
  <c r="B58" i="3" a="1"/>
  <c r="B58" i="3" s="1"/>
  <c r="C57" i="3" a="1"/>
  <c r="C57" i="3" s="1"/>
  <c r="B57" i="3" a="1"/>
  <c r="B57" i="3" s="1"/>
  <c r="C56" i="3" a="1"/>
  <c r="C56" i="3" s="1"/>
  <c r="B56" i="3" a="1"/>
  <c r="B56" i="3" s="1"/>
  <c r="C55" i="3" a="1"/>
  <c r="C55" i="3" s="1"/>
  <c r="B55" i="3" a="1"/>
  <c r="B55" i="3" s="1"/>
  <c r="C54" i="3" a="1"/>
  <c r="C54" i="3" s="1"/>
  <c r="B54" i="3" a="1"/>
  <c r="B54" i="3" s="1"/>
  <c r="C53" i="3" a="1"/>
  <c r="C53" i="3" s="1"/>
  <c r="B53" i="3" a="1"/>
  <c r="B53" i="3" s="1"/>
  <c r="C52" i="3" a="1"/>
  <c r="C52" i="3" s="1"/>
  <c r="B52" i="3" a="1"/>
  <c r="B52" i="3" s="1"/>
  <c r="C51" i="3" a="1"/>
  <c r="C51" i="3" s="1"/>
  <c r="B51" i="3" a="1"/>
  <c r="B51" i="3" s="1"/>
  <c r="C50" i="3" a="1"/>
  <c r="C50" i="3" s="1"/>
  <c r="B50" i="3" a="1"/>
  <c r="B50" i="3" s="1"/>
  <c r="C49" i="3" a="1"/>
  <c r="C49" i="3" s="1"/>
  <c r="B49" i="3" a="1"/>
  <c r="B49" i="3" s="1"/>
  <c r="C48" i="3" a="1"/>
  <c r="C48" i="3" s="1"/>
  <c r="B48" i="3" a="1"/>
  <c r="B48" i="3" s="1"/>
  <c r="C47" i="3" a="1"/>
  <c r="C47" i="3" s="1"/>
  <c r="B47" i="3" a="1"/>
  <c r="B47" i="3" s="1"/>
  <c r="C46" i="3" a="1"/>
  <c r="C46" i="3" s="1"/>
  <c r="B46" i="3" a="1"/>
  <c r="B46" i="3" s="1"/>
  <c r="C45" i="3" a="1"/>
  <c r="C45" i="3" s="1"/>
  <c r="B45" i="3" a="1"/>
  <c r="B45" i="3" s="1"/>
  <c r="C44" i="3" a="1"/>
  <c r="C44" i="3" s="1"/>
  <c r="B44" i="3" a="1"/>
  <c r="B44" i="3" s="1"/>
  <c r="C43" i="3" a="1"/>
  <c r="C43" i="3" s="1"/>
  <c r="B43" i="3" a="1"/>
  <c r="B43" i="3" s="1"/>
  <c r="C42" i="3" a="1"/>
  <c r="C42" i="3" s="1"/>
  <c r="B42" i="3" a="1"/>
  <c r="B42" i="3" s="1"/>
  <c r="C41" i="3" a="1"/>
  <c r="C41" i="3" s="1"/>
  <c r="B41" i="3" a="1"/>
  <c r="B41" i="3" s="1"/>
  <c r="C40" i="3" a="1"/>
  <c r="C40" i="3" s="1"/>
  <c r="B40" i="3" a="1"/>
  <c r="B40" i="3" s="1"/>
  <c r="C39" i="3" a="1"/>
  <c r="C39" i="3" s="1"/>
  <c r="B39" i="3" a="1"/>
  <c r="B39" i="3" s="1"/>
  <c r="C38" i="3" a="1"/>
  <c r="C38" i="3" s="1"/>
  <c r="B38" i="3" a="1"/>
  <c r="B38" i="3" s="1"/>
  <c r="C37" i="3" a="1"/>
  <c r="C37" i="3" s="1"/>
  <c r="B37" i="3" a="1"/>
  <c r="B37" i="3" s="1"/>
  <c r="C36" i="3" a="1"/>
  <c r="C36" i="3" s="1"/>
  <c r="B36" i="3" a="1"/>
  <c r="B36" i="3" s="1"/>
  <c r="C35" i="3" a="1"/>
  <c r="C35" i="3" s="1"/>
  <c r="B35" i="3" a="1"/>
  <c r="B35" i="3" s="1"/>
  <c r="C34" i="3" a="1"/>
  <c r="C34" i="3" s="1"/>
  <c r="B34" i="3" a="1"/>
  <c r="B34" i="3" s="1"/>
  <c r="C33" i="3" a="1"/>
  <c r="C33" i="3" s="1"/>
  <c r="B33" i="3" a="1"/>
  <c r="B33" i="3" s="1"/>
  <c r="C32" i="3" a="1"/>
  <c r="C32" i="3" s="1"/>
  <c r="B32" i="3" a="1"/>
  <c r="B32" i="3" s="1"/>
  <c r="C31" i="3" a="1"/>
  <c r="C31" i="3" s="1"/>
  <c r="B31" i="3" a="1"/>
  <c r="B31" i="3" s="1"/>
  <c r="C30" i="3" a="1"/>
  <c r="C30" i="3" s="1"/>
  <c r="B30" i="3" a="1"/>
  <c r="B30" i="3" s="1"/>
  <c r="C29" i="3" a="1"/>
  <c r="C29" i="3" s="1"/>
  <c r="B29" i="3" a="1"/>
  <c r="B29" i="3" s="1"/>
  <c r="C28" i="3" a="1"/>
  <c r="C28" i="3" s="1"/>
  <c r="B28" i="3" a="1"/>
  <c r="B28" i="3" s="1"/>
  <c r="C27" i="3" a="1"/>
  <c r="C27" i="3" s="1"/>
  <c r="B27" i="3" a="1"/>
  <c r="B27" i="3" s="1"/>
  <c r="C26" i="3" a="1"/>
  <c r="C26" i="3" s="1"/>
  <c r="B26" i="3" a="1"/>
  <c r="B26" i="3" s="1"/>
  <c r="C25" i="3" a="1"/>
  <c r="C25" i="3" s="1"/>
  <c r="B25" i="3" a="1"/>
  <c r="B25" i="3" s="1"/>
  <c r="C24" i="3" a="1"/>
  <c r="C24" i="3" s="1"/>
  <c r="B24" i="3" a="1"/>
  <c r="B24" i="3" s="1"/>
  <c r="C23" i="3" a="1"/>
  <c r="C23" i="3" s="1"/>
  <c r="B23" i="3" a="1"/>
  <c r="B23" i="3" s="1"/>
  <c r="C22" i="3" a="1"/>
  <c r="C22" i="3" s="1"/>
  <c r="B22" i="3" a="1"/>
  <c r="B22" i="3" s="1"/>
  <c r="C21" i="3" a="1"/>
  <c r="C21" i="3" s="1"/>
  <c r="B21" i="3" a="1"/>
  <c r="B21" i="3" s="1"/>
  <c r="C20" i="3" a="1"/>
  <c r="C20" i="3" s="1"/>
  <c r="B20" i="3" a="1"/>
  <c r="B20" i="3" s="1"/>
  <c r="C19" i="3" a="1"/>
  <c r="C19" i="3" s="1"/>
  <c r="B19" i="3" a="1"/>
  <c r="B19" i="3" s="1"/>
  <c r="C18" i="3" a="1"/>
  <c r="C18" i="3" s="1"/>
  <c r="B18" i="3" a="1"/>
  <c r="B18" i="3" s="1"/>
  <c r="C17" i="3" a="1"/>
  <c r="C17" i="3" s="1"/>
  <c r="B17" i="3" a="1"/>
  <c r="B17" i="3" s="1"/>
  <c r="C16" i="3" a="1"/>
  <c r="C16" i="3" s="1"/>
  <c r="B16" i="3" a="1"/>
  <c r="B16" i="3" s="1"/>
  <c r="C15" i="3" a="1"/>
  <c r="C15" i="3" s="1"/>
  <c r="B15" i="3" a="1"/>
  <c r="B15" i="3" s="1"/>
  <c r="C14" i="3" a="1"/>
  <c r="C14" i="3" s="1"/>
  <c r="B14" i="3" a="1"/>
  <c r="B14" i="3" s="1"/>
  <c r="C13" i="3" a="1"/>
  <c r="C13" i="3" s="1"/>
  <c r="B13" i="3" a="1"/>
  <c r="B13" i="3" s="1"/>
  <c r="C12" i="3" a="1"/>
  <c r="C12" i="3" s="1"/>
  <c r="B12" i="3" a="1"/>
  <c r="B12" i="3" s="1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C7" i="3" a="1"/>
  <c r="C7" i="3" s="1"/>
  <c r="B7" i="3" a="1"/>
  <c r="B7" i="3" s="1"/>
  <c r="A5" i="3" a="1"/>
  <c r="A5" i="3" s="1"/>
  <c r="A1" i="3" a="1"/>
  <c r="A1" i="3" s="1"/>
  <c r="B58" i="2"/>
  <c r="B57" i="2"/>
  <c r="B55" i="2"/>
  <c r="B54" i="2"/>
  <c r="B53" i="2"/>
  <c r="B52" i="2"/>
  <c r="B51" i="2"/>
  <c r="B47" i="2"/>
  <c r="B46" i="2"/>
  <c r="B45" i="2"/>
  <c r="B44" i="2"/>
  <c r="B43" i="2"/>
  <c r="B42" i="2"/>
  <c r="B41" i="2"/>
  <c r="B40" i="2"/>
  <c r="B39" i="2"/>
  <c r="B38" i="2"/>
  <c r="B37" i="2"/>
  <c r="B36" i="2"/>
  <c r="B64" i="2"/>
  <c r="B62" i="2"/>
  <c r="B61" i="2"/>
  <c r="B60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CF36" i="3"/>
  <c r="CF47" i="3"/>
  <c r="BY54" i="3"/>
  <c r="BR47" i="3"/>
  <c r="BY22" i="3"/>
  <c r="BR63" i="3"/>
  <c r="BR31" i="3"/>
  <c r="BK67" i="3"/>
  <c r="BR15" i="3"/>
  <c r="BK51" i="3"/>
  <c r="BK59" i="3"/>
  <c r="BK35" i="3"/>
  <c r="BK43" i="3"/>
  <c r="BK27" i="3"/>
  <c r="BK19" i="3"/>
  <c r="BD69" i="3"/>
  <c r="BK11" i="3"/>
  <c r="BD61" i="3"/>
  <c r="BD65" i="3"/>
  <c r="BD57" i="3"/>
  <c r="BD53" i="3"/>
  <c r="BD49" i="3"/>
  <c r="BD45" i="3"/>
  <c r="BD41" i="3"/>
  <c r="BD37" i="3"/>
  <c r="BD33" i="3"/>
  <c r="BD29" i="3"/>
  <c r="BD25" i="3"/>
  <c r="BD21" i="3"/>
  <c r="BD17" i="3"/>
  <c r="BD13" i="3"/>
  <c r="BD9" i="3"/>
  <c r="R28" i="3"/>
  <c r="R53" i="3"/>
  <c r="R29" i="3"/>
  <c r="R49" i="3"/>
  <c r="R25" i="3"/>
  <c r="R71" i="3"/>
  <c r="R64" i="3"/>
  <c r="R63" i="3"/>
  <c r="R41" i="3"/>
  <c r="R17" i="3"/>
  <c r="R40" i="3"/>
  <c r="R16" i="3"/>
  <c r="R50" i="3"/>
  <c r="R26" i="3"/>
  <c r="R70" i="3"/>
  <c r="R69" i="3"/>
  <c r="R46" i="3"/>
  <c r="R45" i="3"/>
  <c r="R21" i="3"/>
  <c r="R22" i="3"/>
  <c r="R37" i="3"/>
  <c r="R38" i="3"/>
  <c r="R12" i="3"/>
  <c r="R58" i="3"/>
  <c r="R57" i="3"/>
  <c r="R33" i="3"/>
  <c r="R32" i="3"/>
  <c r="R14" i="3"/>
  <c r="R74" i="3"/>
  <c r="R73" i="3"/>
  <c r="R52" i="3"/>
  <c r="R51" i="3"/>
  <c r="R27" i="3"/>
  <c r="R78" i="3"/>
  <c r="R77" i="3"/>
  <c r="R68" i="3"/>
  <c r="R67" i="3"/>
  <c r="R47" i="3"/>
  <c r="R48" i="3"/>
  <c r="R24" i="3"/>
  <c r="R23" i="3"/>
  <c r="R44" i="3"/>
  <c r="R43" i="3"/>
  <c r="R19" i="3"/>
  <c r="R20" i="3"/>
  <c r="R62" i="3"/>
  <c r="R61" i="3"/>
  <c r="R39" i="3"/>
  <c r="R15" i="3"/>
  <c r="R56" i="3"/>
  <c r="R55" i="3"/>
  <c r="R36" i="3"/>
  <c r="R35" i="3"/>
  <c r="R11" i="3"/>
  <c r="R13" i="3"/>
  <c r="R9" i="3"/>
  <c r="R31" i="3"/>
  <c r="R72" i="3"/>
  <c r="R42" i="3"/>
  <c r="R60" i="3"/>
  <c r="R59" i="3"/>
  <c r="R34" i="3"/>
  <c r="R76" i="3"/>
  <c r="R75" i="3"/>
  <c r="R66" i="3"/>
  <c r="R65" i="3"/>
  <c r="R54" i="3"/>
  <c r="R30" i="3"/>
  <c r="R18" i="3"/>
  <c r="R10" i="3"/>
  <c r="R8" i="3"/>
  <c r="R7" i="3"/>
  <c r="AB58" i="3"/>
  <c r="AB45" i="3"/>
  <c r="AB15" i="3"/>
  <c r="AB11" i="3"/>
  <c r="AB51" i="3"/>
  <c r="AB77" i="3"/>
  <c r="AB76" i="3"/>
  <c r="AB75" i="3"/>
  <c r="AB74" i="3"/>
  <c r="AB71" i="3"/>
  <c r="AB70" i="3"/>
  <c r="AB69" i="3"/>
  <c r="AB65" i="3"/>
  <c r="AB64" i="3"/>
  <c r="AB63" i="3"/>
  <c r="AB62" i="3"/>
  <c r="AB59" i="3"/>
  <c r="AB57" i="3"/>
  <c r="AB56" i="3"/>
  <c r="AB53" i="3"/>
  <c r="AB52" i="3"/>
  <c r="AB50" i="3"/>
  <c r="AB47" i="3"/>
  <c r="AB46" i="3"/>
  <c r="AB44" i="3"/>
  <c r="AB41" i="3"/>
  <c r="R84" i="3"/>
  <c r="R85" i="3"/>
  <c r="R86" i="3"/>
  <c r="R87" i="3"/>
  <c r="R88" i="3"/>
  <c r="R89" i="3"/>
  <c r="R90" i="3"/>
  <c r="R91" i="3"/>
  <c r="R95" i="3"/>
  <c r="R96" i="3"/>
  <c r="R97" i="3"/>
  <c r="R98" i="3"/>
  <c r="R102" i="3"/>
  <c r="R103" i="3"/>
  <c r="R107" i="3"/>
  <c r="R111" i="3"/>
  <c r="AB40" i="3"/>
  <c r="AB39" i="3"/>
  <c r="AB38" i="3"/>
  <c r="AB35" i="3"/>
  <c r="AB34" i="3"/>
  <c r="AB33" i="3"/>
  <c r="AB32" i="3"/>
  <c r="AB29" i="3"/>
  <c r="AB28" i="3"/>
  <c r="AB27" i="3"/>
  <c r="AB26" i="3"/>
  <c r="AB23" i="3"/>
  <c r="AB22" i="3"/>
  <c r="AB21" i="3"/>
  <c r="AB20" i="3"/>
  <c r="AB17" i="3"/>
  <c r="AB16" i="3"/>
  <c r="AB10" i="3"/>
  <c r="AB14" i="3"/>
  <c r="AB9" i="3"/>
  <c r="AB8" i="3"/>
  <c r="AB68" i="3"/>
  <c r="I15" i="2"/>
  <c r="AM68" i="3" l="1"/>
  <c r="AM8" i="3"/>
  <c r="AM9" i="3"/>
  <c r="AM14" i="3"/>
  <c r="AM10" i="3"/>
  <c r="AM16" i="3"/>
  <c r="AM17" i="3"/>
  <c r="E35" i="3"/>
  <c r="X35" i="3" s="1"/>
  <c r="AM20" i="3"/>
  <c r="H36" i="3"/>
  <c r="AM21" i="3"/>
  <c r="H35" i="3"/>
  <c r="AM22" i="3"/>
  <c r="E36" i="3"/>
  <c r="AM23" i="3"/>
  <c r="AM26" i="3"/>
  <c r="AM27" i="3"/>
  <c r="AM28" i="3"/>
  <c r="AM29" i="3"/>
  <c r="AM32" i="3"/>
  <c r="AM33" i="3"/>
  <c r="AM34" i="3"/>
  <c r="AM35" i="3"/>
  <c r="AM38" i="3"/>
  <c r="AM39" i="3"/>
  <c r="AM40" i="3"/>
  <c r="AM41" i="3"/>
  <c r="AM44" i="3"/>
  <c r="AM46" i="3"/>
  <c r="AM47" i="3"/>
  <c r="AM50" i="3"/>
  <c r="AM52" i="3"/>
  <c r="AM53" i="3"/>
  <c r="AM56" i="3"/>
  <c r="AM57" i="3"/>
  <c r="AM59" i="3"/>
  <c r="AM62" i="3"/>
  <c r="AM63" i="3"/>
  <c r="AM64" i="3"/>
  <c r="AM65" i="3"/>
  <c r="AM69" i="3"/>
  <c r="AM70" i="3"/>
  <c r="AM71" i="3"/>
  <c r="AM74" i="3"/>
  <c r="AM75" i="3"/>
  <c r="AM76" i="3"/>
  <c r="AM77" i="3"/>
  <c r="AM51" i="3"/>
  <c r="AM11" i="3"/>
  <c r="AM15" i="3"/>
  <c r="AM45" i="3"/>
  <c r="AM58" i="3"/>
  <c r="H77" i="3"/>
  <c r="E53" i="3"/>
  <c r="E29" i="3"/>
  <c r="X29" i="3" s="1"/>
  <c r="H59" i="3"/>
  <c r="E34" i="3"/>
  <c r="S34" i="3" s="1"/>
  <c r="E7" i="3"/>
  <c r="E60" i="3"/>
  <c r="H31" i="3"/>
  <c r="H7" i="3"/>
  <c r="H57" i="3"/>
  <c r="E33" i="3"/>
  <c r="S33" i="3" s="1"/>
  <c r="T33" i="3" s="1"/>
  <c r="E9" i="3"/>
  <c r="X9" i="3" s="1"/>
  <c r="H60" i="3"/>
  <c r="H34" i="3"/>
  <c r="E8" i="3"/>
  <c r="S8" i="3" s="1"/>
  <c r="H58" i="3"/>
  <c r="H33" i="3"/>
  <c r="E14" i="3"/>
  <c r="E57" i="3"/>
  <c r="E32" i="3"/>
  <c r="X32" i="3" s="1"/>
  <c r="H14" i="3"/>
  <c r="H55" i="3"/>
  <c r="S36" i="3"/>
  <c r="E13" i="3"/>
  <c r="S13" i="3" s="1"/>
  <c r="E56" i="3"/>
  <c r="H13" i="3"/>
  <c r="H56" i="3"/>
  <c r="E11" i="3"/>
  <c r="X11" i="3" s="1"/>
  <c r="E55" i="3"/>
  <c r="S35" i="3"/>
  <c r="H11" i="3"/>
  <c r="H65" i="3"/>
  <c r="E37" i="3"/>
  <c r="E10" i="3"/>
  <c r="S10" i="3" s="1"/>
  <c r="E66" i="3"/>
  <c r="H38" i="3"/>
  <c r="X38" i="3" s="1"/>
  <c r="H10" i="3"/>
  <c r="H66" i="3"/>
  <c r="H37" i="3"/>
  <c r="E65" i="3"/>
  <c r="E38" i="3"/>
  <c r="H62" i="3"/>
  <c r="E39" i="3"/>
  <c r="X39" i="3" s="1"/>
  <c r="E16" i="3"/>
  <c r="X16" i="3" s="1"/>
  <c r="E61" i="3"/>
  <c r="H40" i="3"/>
  <c r="H16" i="3"/>
  <c r="H61" i="3"/>
  <c r="H39" i="3"/>
  <c r="E15" i="3"/>
  <c r="E62" i="3"/>
  <c r="E40" i="3"/>
  <c r="S40" i="3" s="1"/>
  <c r="T40" i="3" s="1"/>
  <c r="H15" i="3"/>
  <c r="H64" i="3"/>
  <c r="E41" i="3"/>
  <c r="E17" i="3"/>
  <c r="E63" i="3"/>
  <c r="H42" i="3"/>
  <c r="H17" i="3"/>
  <c r="X17" i="3" s="1"/>
  <c r="H63" i="3"/>
  <c r="H41" i="3"/>
  <c r="E18" i="3"/>
  <c r="E64" i="3"/>
  <c r="E42" i="3"/>
  <c r="S42" i="3" s="1"/>
  <c r="H18" i="3"/>
  <c r="H70" i="3"/>
  <c r="E45" i="3"/>
  <c r="X45" i="3" s="1"/>
  <c r="H69" i="3"/>
  <c r="H45" i="3"/>
  <c r="E21" i="3"/>
  <c r="S21" i="3" s="1"/>
  <c r="E70" i="3"/>
  <c r="E46" i="3"/>
  <c r="H21" i="3"/>
  <c r="H72" i="3"/>
  <c r="E44" i="3"/>
  <c r="S44" i="3" s="1"/>
  <c r="T44" i="3" s="1"/>
  <c r="E20" i="3"/>
  <c r="S20" i="3" s="1"/>
  <c r="T20" i="3" s="1"/>
  <c r="H71" i="3"/>
  <c r="H44" i="3"/>
  <c r="E19" i="3"/>
  <c r="S19" i="3" s="1"/>
  <c r="E72" i="3"/>
  <c r="E43" i="3"/>
  <c r="H19" i="3"/>
  <c r="H67" i="3"/>
  <c r="E48" i="3"/>
  <c r="E23" i="3"/>
  <c r="S23" i="3" s="1"/>
  <c r="E68" i="3"/>
  <c r="H47" i="3"/>
  <c r="H23" i="3"/>
  <c r="X23" i="3" s="1"/>
  <c r="E67" i="3"/>
  <c r="E47" i="3"/>
  <c r="H24" i="3"/>
  <c r="X24" i="3" s="1"/>
  <c r="H76" i="3"/>
  <c r="E49" i="3"/>
  <c r="E25" i="3"/>
  <c r="S25" i="3" s="1"/>
  <c r="E75" i="3"/>
  <c r="H50" i="3"/>
  <c r="H25" i="3"/>
  <c r="H75" i="3"/>
  <c r="H49" i="3"/>
  <c r="E26" i="3"/>
  <c r="X26" i="3" s="1"/>
  <c r="E76" i="3"/>
  <c r="E50" i="3"/>
  <c r="H26" i="3"/>
  <c r="E78" i="3"/>
  <c r="H54" i="3"/>
  <c r="H29" i="3"/>
  <c r="H78" i="3"/>
  <c r="H53" i="3"/>
  <c r="E30" i="3"/>
  <c r="E77" i="3"/>
  <c r="E54" i="3"/>
  <c r="H30" i="3"/>
  <c r="H73" i="3"/>
  <c r="E51" i="3"/>
  <c r="E28" i="3"/>
  <c r="X28" i="3" s="1"/>
  <c r="E74" i="3"/>
  <c r="H52" i="3"/>
  <c r="H28" i="3"/>
  <c r="H74" i="3"/>
  <c r="H51" i="3"/>
  <c r="E27" i="3"/>
  <c r="E73" i="3"/>
  <c r="E52" i="3"/>
  <c r="H27" i="3"/>
  <c r="X27" i="3" s="1"/>
  <c r="E71" i="3"/>
  <c r="H43" i="3"/>
  <c r="H20" i="3"/>
  <c r="E59" i="3"/>
  <c r="E31" i="3"/>
  <c r="S31" i="3" s="1"/>
  <c r="E58" i="3"/>
  <c r="H32" i="3"/>
  <c r="E69" i="3"/>
  <c r="H46" i="3"/>
  <c r="H68" i="3"/>
  <c r="H48" i="3"/>
  <c r="E24" i="3"/>
  <c r="E12" i="3"/>
  <c r="H8" i="3"/>
  <c r="H22" i="3"/>
  <c r="X22" i="3" s="1"/>
  <c r="H12" i="3"/>
  <c r="X12" i="3" s="1"/>
  <c r="E22" i="3"/>
  <c r="S22" i="3" s="1"/>
  <c r="H9" i="3"/>
  <c r="X7" i="3"/>
  <c r="X25" i="3"/>
  <c r="X31" i="3"/>
  <c r="X34" i="3"/>
  <c r="X19" i="3"/>
  <c r="X10" i="3"/>
  <c r="X42" i="3"/>
  <c r="X21" i="3"/>
  <c r="X13" i="3"/>
  <c r="X36" i="3"/>
  <c r="X8" i="3"/>
  <c r="D7" i="3"/>
  <c r="S12" i="3"/>
  <c r="T31" i="3"/>
  <c r="S17" i="3"/>
  <c r="T21" i="3"/>
  <c r="S32" i="3"/>
  <c r="S9" i="3"/>
  <c r="S28" i="3"/>
  <c r="S26" i="3"/>
  <c r="T13" i="3"/>
  <c r="T22" i="3"/>
  <c r="S45" i="3"/>
  <c r="X37" i="3"/>
  <c r="S37" i="3"/>
  <c r="S27" i="3"/>
  <c r="T10" i="3"/>
  <c r="T34" i="3"/>
  <c r="S46" i="3"/>
  <c r="X46" i="3"/>
  <c r="X43" i="3"/>
  <c r="S43" i="3"/>
  <c r="T19" i="3"/>
  <c r="S24" i="3"/>
  <c r="S38" i="3"/>
  <c r="S16" i="3"/>
  <c r="S29" i="3"/>
  <c r="T42" i="3"/>
  <c r="T25" i="3"/>
  <c r="X14" i="3"/>
  <c r="S14" i="3"/>
  <c r="X41" i="3"/>
  <c r="S41" i="3"/>
  <c r="T36" i="3"/>
  <c r="T8" i="3"/>
  <c r="T23" i="3"/>
  <c r="S39" i="3"/>
  <c r="S11" i="3"/>
  <c r="T35" i="3"/>
  <c r="X15" i="3"/>
  <c r="S15" i="3"/>
  <c r="S30" i="3"/>
  <c r="X30" i="3"/>
  <c r="X18" i="3"/>
  <c r="S18" i="3"/>
  <c r="X40" i="3" l="1"/>
  <c r="X44" i="3"/>
  <c r="X20" i="3"/>
  <c r="X33" i="3"/>
  <c r="AG68" i="3"/>
  <c r="AF68" i="3"/>
  <c r="AG8" i="3"/>
  <c r="AF8" i="3"/>
  <c r="AG9" i="3"/>
  <c r="AI9" i="3" s="1"/>
  <c r="AF9" i="3"/>
  <c r="AG14" i="3"/>
  <c r="AF14" i="3"/>
  <c r="AG10" i="3"/>
  <c r="AF10" i="3"/>
  <c r="AG16" i="3"/>
  <c r="AF16" i="3"/>
  <c r="AG17" i="3"/>
  <c r="AF17" i="3"/>
  <c r="AG20" i="3"/>
  <c r="AF20" i="3"/>
  <c r="AG21" i="3"/>
  <c r="AF21" i="3"/>
  <c r="AG22" i="3"/>
  <c r="AF22" i="3"/>
  <c r="AG23" i="3"/>
  <c r="AF23" i="3"/>
  <c r="AG26" i="3"/>
  <c r="AF26" i="3"/>
  <c r="AG27" i="3"/>
  <c r="AF27" i="3"/>
  <c r="AG28" i="3"/>
  <c r="AF28" i="3"/>
  <c r="AG29" i="3"/>
  <c r="AF29" i="3"/>
  <c r="AG32" i="3"/>
  <c r="AF32" i="3"/>
  <c r="AG33" i="3"/>
  <c r="AF33" i="3"/>
  <c r="AG34" i="3"/>
  <c r="AF34" i="3"/>
  <c r="AG35" i="3"/>
  <c r="AF35" i="3"/>
  <c r="AG38" i="3"/>
  <c r="AF38" i="3"/>
  <c r="AG39" i="3"/>
  <c r="AF39" i="3"/>
  <c r="AG40" i="3"/>
  <c r="AF40" i="3"/>
  <c r="AG41" i="3"/>
  <c r="AF41" i="3"/>
  <c r="AG44" i="3"/>
  <c r="AF44" i="3"/>
  <c r="AG46" i="3"/>
  <c r="AF46" i="3"/>
  <c r="AG47" i="3"/>
  <c r="AF47" i="3"/>
  <c r="AG50" i="3"/>
  <c r="AF50" i="3"/>
  <c r="AG52" i="3"/>
  <c r="AF52" i="3"/>
  <c r="AG53" i="3"/>
  <c r="AF53" i="3"/>
  <c r="AG56" i="3"/>
  <c r="AF56" i="3"/>
  <c r="AG57" i="3"/>
  <c r="AF57" i="3"/>
  <c r="AG59" i="3"/>
  <c r="AF59" i="3"/>
  <c r="AG62" i="3"/>
  <c r="AF62" i="3"/>
  <c r="AG63" i="3"/>
  <c r="AF63" i="3"/>
  <c r="AG64" i="3"/>
  <c r="AF64" i="3"/>
  <c r="AG65" i="3"/>
  <c r="AF65" i="3"/>
  <c r="AG69" i="3"/>
  <c r="AF69" i="3"/>
  <c r="AG70" i="3"/>
  <c r="AF70" i="3"/>
  <c r="AG71" i="3"/>
  <c r="AF71" i="3"/>
  <c r="AG74" i="3"/>
  <c r="AF74" i="3"/>
  <c r="AG75" i="3"/>
  <c r="AF75" i="3"/>
  <c r="AG76" i="3"/>
  <c r="AF76" i="3"/>
  <c r="AG77" i="3"/>
  <c r="AF77" i="3"/>
  <c r="AG51" i="3"/>
  <c r="AF51" i="3"/>
  <c r="AG11" i="3"/>
  <c r="AF11" i="3"/>
  <c r="AG15" i="3"/>
  <c r="AF15" i="3"/>
  <c r="AG45" i="3"/>
  <c r="AF45" i="3"/>
  <c r="AG58" i="3"/>
  <c r="AF58" i="3"/>
  <c r="S69" i="3"/>
  <c r="X69" i="3"/>
  <c r="S58" i="3"/>
  <c r="X58" i="3"/>
  <c r="S59" i="3"/>
  <c r="X59" i="3"/>
  <c r="S71" i="3"/>
  <c r="X71" i="3"/>
  <c r="S52" i="3"/>
  <c r="X52" i="3"/>
  <c r="S73" i="3"/>
  <c r="X73" i="3"/>
  <c r="S74" i="3"/>
  <c r="X74" i="3"/>
  <c r="S51" i="3"/>
  <c r="X51" i="3"/>
  <c r="S54" i="3"/>
  <c r="X54" i="3"/>
  <c r="S77" i="3"/>
  <c r="X77" i="3"/>
  <c r="S78" i="3"/>
  <c r="X78" i="3"/>
  <c r="S50" i="3"/>
  <c r="X50" i="3"/>
  <c r="S76" i="3"/>
  <c r="X76" i="3"/>
  <c r="S75" i="3"/>
  <c r="X75" i="3"/>
  <c r="S49" i="3"/>
  <c r="X49" i="3"/>
  <c r="S47" i="3"/>
  <c r="X47" i="3"/>
  <c r="S67" i="3"/>
  <c r="X67" i="3"/>
  <c r="S68" i="3"/>
  <c r="X68" i="3"/>
  <c r="S48" i="3"/>
  <c r="X48" i="3"/>
  <c r="S72" i="3"/>
  <c r="X72" i="3"/>
  <c r="S70" i="3"/>
  <c r="X70" i="3"/>
  <c r="S64" i="3"/>
  <c r="X64" i="3"/>
  <c r="S63" i="3"/>
  <c r="X63" i="3"/>
  <c r="S62" i="3"/>
  <c r="X62" i="3"/>
  <c r="S61" i="3"/>
  <c r="X61" i="3"/>
  <c r="S65" i="3"/>
  <c r="X65" i="3"/>
  <c r="S66" i="3"/>
  <c r="X66" i="3"/>
  <c r="S55" i="3"/>
  <c r="X55" i="3"/>
  <c r="S56" i="3"/>
  <c r="X56" i="3"/>
  <c r="S57" i="3"/>
  <c r="X57" i="3"/>
  <c r="S60" i="3"/>
  <c r="X60" i="3"/>
  <c r="S53" i="3"/>
  <c r="X53" i="3"/>
  <c r="S7" i="3"/>
  <c r="T14" i="3"/>
  <c r="T38" i="3"/>
  <c r="T46" i="3"/>
  <c r="T45" i="3"/>
  <c r="T32" i="3"/>
  <c r="T18" i="3"/>
  <c r="T11" i="3"/>
  <c r="T43" i="3"/>
  <c r="T27" i="3"/>
  <c r="AI10" i="3"/>
  <c r="T12" i="3"/>
  <c r="T26" i="3"/>
  <c r="T29" i="3"/>
  <c r="T24" i="3"/>
  <c r="T30" i="3"/>
  <c r="T39" i="3"/>
  <c r="T16" i="3"/>
  <c r="T28" i="3"/>
  <c r="T15" i="3"/>
  <c r="T37" i="3"/>
  <c r="T9" i="3"/>
  <c r="T41" i="3"/>
  <c r="T17" i="3"/>
  <c r="AI29" i="3" l="1"/>
  <c r="AI8" i="3"/>
  <c r="AI41" i="3"/>
  <c r="AI23" i="3"/>
  <c r="AI58" i="3"/>
  <c r="AI51" i="3"/>
  <c r="AI65" i="3"/>
  <c r="AI59" i="3"/>
  <c r="AI52" i="3"/>
  <c r="AI64" i="3"/>
  <c r="AI57" i="3"/>
  <c r="AI35" i="3"/>
  <c r="AI11" i="3"/>
  <c r="AI45" i="3"/>
  <c r="AI77" i="3"/>
  <c r="AI71" i="3"/>
  <c r="AI17" i="3"/>
  <c r="AI15" i="3"/>
  <c r="AI76" i="3"/>
  <c r="AI70" i="3"/>
  <c r="AI63" i="3"/>
  <c r="AI47" i="3"/>
  <c r="AI40" i="3"/>
  <c r="AI34" i="3"/>
  <c r="AI28" i="3"/>
  <c r="AI22" i="3"/>
  <c r="AI16" i="3"/>
  <c r="AI75" i="3"/>
  <c r="AI69" i="3"/>
  <c r="AI53" i="3"/>
  <c r="AI46" i="3"/>
  <c r="AI39" i="3"/>
  <c r="AI33" i="3"/>
  <c r="AI27" i="3"/>
  <c r="AI21" i="3"/>
  <c r="AI74" i="3"/>
  <c r="AF78" i="3"/>
  <c r="AI62" i="3"/>
  <c r="AF66" i="3"/>
  <c r="AI56" i="3"/>
  <c r="AF60" i="3"/>
  <c r="AI50" i="3"/>
  <c r="AF54" i="3"/>
  <c r="AI44" i="3"/>
  <c r="AF48" i="3"/>
  <c r="AI38" i="3"/>
  <c r="AF42" i="3"/>
  <c r="AI32" i="3"/>
  <c r="AF36" i="3"/>
  <c r="AI26" i="3"/>
  <c r="AF30" i="3"/>
  <c r="AI20" i="3"/>
  <c r="AF24" i="3"/>
  <c r="AI14" i="3"/>
  <c r="AF18" i="3"/>
  <c r="AF12" i="3"/>
  <c r="AI68" i="3"/>
  <c r="AF72" i="3"/>
  <c r="AI12" i="3"/>
  <c r="AJ10" i="3" s="1"/>
  <c r="T53" i="3"/>
  <c r="T60" i="3"/>
  <c r="T57" i="3"/>
  <c r="T56" i="3"/>
  <c r="T55" i="3"/>
  <c r="T66" i="3"/>
  <c r="T65" i="3"/>
  <c r="T61" i="3"/>
  <c r="T62" i="3"/>
  <c r="T63" i="3"/>
  <c r="T64" i="3"/>
  <c r="T70" i="3"/>
  <c r="T72" i="3"/>
  <c r="T48" i="3"/>
  <c r="T68" i="3"/>
  <c r="T67" i="3"/>
  <c r="T47" i="3"/>
  <c r="T49" i="3"/>
  <c r="T75" i="3"/>
  <c r="T76" i="3"/>
  <c r="T50" i="3"/>
  <c r="T78" i="3"/>
  <c r="T77" i="3"/>
  <c r="T54" i="3"/>
  <c r="T51" i="3"/>
  <c r="T74" i="3"/>
  <c r="T73" i="3"/>
  <c r="T52" i="3"/>
  <c r="T71" i="3"/>
  <c r="T59" i="3"/>
  <c r="T58" i="3"/>
  <c r="T69" i="3"/>
  <c r="T7" i="3"/>
  <c r="AI72" i="3" l="1"/>
  <c r="AJ68" i="3" s="1"/>
  <c r="AI18" i="3"/>
  <c r="AJ14" i="3" s="1"/>
  <c r="AI24" i="3"/>
  <c r="AJ20" i="3" s="1"/>
  <c r="AI30" i="3"/>
  <c r="AJ26" i="3" s="1"/>
  <c r="AI36" i="3"/>
  <c r="AJ32" i="3" s="1"/>
  <c r="AI42" i="3"/>
  <c r="AJ38" i="3" s="1"/>
  <c r="AI48" i="3"/>
  <c r="AJ44" i="3" s="1"/>
  <c r="AI54" i="3"/>
  <c r="AJ50" i="3" s="1"/>
  <c r="AI60" i="3"/>
  <c r="AJ56" i="3" s="1"/>
  <c r="AI66" i="3"/>
  <c r="AJ62" i="3" s="1"/>
  <c r="AI78" i="3"/>
  <c r="AJ74" i="3" s="1"/>
  <c r="AE8" i="3"/>
  <c r="AD8" i="3"/>
  <c r="AC8" i="3"/>
  <c r="AE77" i="3"/>
  <c r="AD77" i="3"/>
  <c r="AC77" i="3"/>
  <c r="AK77" i="3" s="1"/>
  <c r="AE76" i="3"/>
  <c r="AD76" i="3"/>
  <c r="AC76" i="3"/>
  <c r="AE75" i="3"/>
  <c r="AD75" i="3"/>
  <c r="AC75" i="3"/>
  <c r="AE74" i="3"/>
  <c r="AD74" i="3"/>
  <c r="AC74" i="3"/>
  <c r="AE71" i="3"/>
  <c r="AD71" i="3"/>
  <c r="AC71" i="3"/>
  <c r="AE70" i="3"/>
  <c r="AD70" i="3"/>
  <c r="AC70" i="3"/>
  <c r="AE69" i="3"/>
  <c r="AD69" i="3"/>
  <c r="AC69" i="3"/>
  <c r="AK69" i="3" s="1"/>
  <c r="AE68" i="3"/>
  <c r="AD68" i="3"/>
  <c r="AC68" i="3"/>
  <c r="AE65" i="3"/>
  <c r="AD65" i="3"/>
  <c r="AC65" i="3"/>
  <c r="AE64" i="3"/>
  <c r="AD64" i="3"/>
  <c r="AC64" i="3"/>
  <c r="AE63" i="3"/>
  <c r="AD63" i="3"/>
  <c r="AC63" i="3"/>
  <c r="AE62" i="3"/>
  <c r="AD62" i="3"/>
  <c r="AC62" i="3"/>
  <c r="AE59" i="3"/>
  <c r="AD59" i="3"/>
  <c r="AC59" i="3"/>
  <c r="AE58" i="3"/>
  <c r="AD58" i="3"/>
  <c r="AC58" i="3"/>
  <c r="AE57" i="3"/>
  <c r="AD57" i="3"/>
  <c r="AC57" i="3"/>
  <c r="AK57" i="3" s="1"/>
  <c r="AE56" i="3"/>
  <c r="AD56" i="3"/>
  <c r="AC56" i="3"/>
  <c r="AE53" i="3"/>
  <c r="AD53" i="3"/>
  <c r="AC53" i="3"/>
  <c r="AE52" i="3"/>
  <c r="AD52" i="3"/>
  <c r="AC52" i="3"/>
  <c r="AE51" i="3"/>
  <c r="AD51" i="3"/>
  <c r="AC51" i="3"/>
  <c r="AE50" i="3"/>
  <c r="AD50" i="3"/>
  <c r="AC50" i="3"/>
  <c r="AE47" i="3"/>
  <c r="AD47" i="3"/>
  <c r="AC47" i="3"/>
  <c r="AE46" i="3"/>
  <c r="AD46" i="3"/>
  <c r="AC46" i="3"/>
  <c r="AE45" i="3"/>
  <c r="AD45" i="3"/>
  <c r="AC45" i="3"/>
  <c r="AK45" i="3" s="1"/>
  <c r="AE44" i="3"/>
  <c r="AD44" i="3"/>
  <c r="AC44" i="3"/>
  <c r="AE41" i="3"/>
  <c r="AD41" i="3"/>
  <c r="AC41" i="3"/>
  <c r="AE40" i="3"/>
  <c r="AD40" i="3"/>
  <c r="AC40" i="3"/>
  <c r="AE39" i="3"/>
  <c r="AD39" i="3"/>
  <c r="AC39" i="3"/>
  <c r="AE38" i="3"/>
  <c r="AD38" i="3"/>
  <c r="AC38" i="3"/>
  <c r="AE35" i="3"/>
  <c r="AD35" i="3"/>
  <c r="AC35" i="3"/>
  <c r="AE34" i="3"/>
  <c r="AD34" i="3"/>
  <c r="AC34" i="3"/>
  <c r="AE33" i="3"/>
  <c r="AD33" i="3"/>
  <c r="AC33" i="3"/>
  <c r="AK33" i="3" s="1"/>
  <c r="AE32" i="3"/>
  <c r="AD32" i="3"/>
  <c r="AC32" i="3"/>
  <c r="AE29" i="3"/>
  <c r="AD29" i="3"/>
  <c r="AC29" i="3"/>
  <c r="AE28" i="3"/>
  <c r="AD28" i="3"/>
  <c r="AC28" i="3"/>
  <c r="AE27" i="3"/>
  <c r="AD27" i="3"/>
  <c r="AC27" i="3"/>
  <c r="AE26" i="3"/>
  <c r="AD26" i="3"/>
  <c r="AC26" i="3"/>
  <c r="AE23" i="3"/>
  <c r="AD23" i="3"/>
  <c r="AC23" i="3"/>
  <c r="AE22" i="3"/>
  <c r="AD22" i="3"/>
  <c r="AC22" i="3"/>
  <c r="AE21" i="3"/>
  <c r="AD21" i="3"/>
  <c r="AC21" i="3"/>
  <c r="AE20" i="3"/>
  <c r="AD20" i="3"/>
  <c r="AC20" i="3"/>
  <c r="AE17" i="3"/>
  <c r="AD17" i="3"/>
  <c r="AC17" i="3"/>
  <c r="AE16" i="3"/>
  <c r="AD16" i="3"/>
  <c r="AC16" i="3"/>
  <c r="AE15" i="3"/>
  <c r="AD15" i="3"/>
  <c r="AC15" i="3"/>
  <c r="AE14" i="3"/>
  <c r="AD14" i="3"/>
  <c r="AC14" i="3"/>
  <c r="AE11" i="3"/>
  <c r="AD11" i="3"/>
  <c r="AC11" i="3"/>
  <c r="AE10" i="3"/>
  <c r="AD10" i="3"/>
  <c r="AC10" i="3"/>
  <c r="AE9" i="3"/>
  <c r="AD9" i="3"/>
  <c r="AC9" i="3"/>
  <c r="AK9" i="3" s="1"/>
  <c r="AJ11" i="3"/>
  <c r="AJ9" i="3"/>
  <c r="AJ8" i="3"/>
  <c r="U14" i="3"/>
  <c r="U69" i="3"/>
  <c r="U12" i="3"/>
  <c r="U58" i="3"/>
  <c r="U18" i="3"/>
  <c r="U19" i="3"/>
  <c r="AK75" i="3" l="1"/>
  <c r="AD18" i="3"/>
  <c r="AD30" i="3"/>
  <c r="AD42" i="3"/>
  <c r="AD54" i="3"/>
  <c r="AE30" i="3"/>
  <c r="AK16" i="3"/>
  <c r="AE24" i="3"/>
  <c r="AK28" i="3"/>
  <c r="AE36" i="3"/>
  <c r="AK40" i="3"/>
  <c r="AE48" i="3"/>
  <c r="AK52" i="3"/>
  <c r="AK64" i="3"/>
  <c r="AK76" i="3"/>
  <c r="AC36" i="3"/>
  <c r="AC30" i="3"/>
  <c r="AC12" i="3"/>
  <c r="AE18" i="3"/>
  <c r="AD24" i="3"/>
  <c r="AK23" i="3"/>
  <c r="AD36" i="3"/>
  <c r="AK35" i="3"/>
  <c r="AE42" i="3"/>
  <c r="AD48" i="3"/>
  <c r="AK47" i="3"/>
  <c r="AE54" i="3"/>
  <c r="AK59" i="3"/>
  <c r="AK71" i="3"/>
  <c r="AD12" i="3"/>
  <c r="AC18" i="3"/>
  <c r="AC54" i="3"/>
  <c r="AC42" i="3"/>
  <c r="AE12" i="3"/>
  <c r="AK17" i="3"/>
  <c r="AK29" i="3"/>
  <c r="AK41" i="3"/>
  <c r="AK53" i="3"/>
  <c r="AK65" i="3"/>
  <c r="AK10" i="3"/>
  <c r="AK15" i="3"/>
  <c r="AK27" i="3"/>
  <c r="AK39" i="3"/>
  <c r="AK51" i="3"/>
  <c r="AK63" i="3"/>
  <c r="AC24" i="3"/>
  <c r="AK21" i="3"/>
  <c r="AC48" i="3"/>
  <c r="AK11" i="3"/>
  <c r="AK8" i="3"/>
  <c r="AK22" i="3"/>
  <c r="AK34" i="3"/>
  <c r="AK46" i="3"/>
  <c r="AK58" i="3"/>
  <c r="AK70" i="3"/>
  <c r="AJ12" i="3"/>
  <c r="AO15" i="3"/>
  <c r="AO14" i="3"/>
  <c r="AO21" i="3"/>
  <c r="AO20" i="3"/>
  <c r="AO27" i="3"/>
  <c r="AO26" i="3"/>
  <c r="AO9" i="3"/>
  <c r="AO33" i="3"/>
  <c r="AO32" i="3"/>
  <c r="AO39" i="3"/>
  <c r="AO38" i="3"/>
  <c r="AO45" i="3"/>
  <c r="AO44" i="3"/>
  <c r="AO51" i="3"/>
  <c r="AO50" i="3"/>
  <c r="AO57" i="3"/>
  <c r="AO56" i="3"/>
  <c r="AO63" i="3"/>
  <c r="AO62" i="3"/>
  <c r="AO69" i="3"/>
  <c r="AO68" i="3"/>
  <c r="AO75" i="3"/>
  <c r="AO74" i="3"/>
  <c r="AO8" i="3"/>
  <c r="AK14" i="3"/>
  <c r="AK20" i="3"/>
  <c r="AK26" i="3"/>
  <c r="AK32" i="3"/>
  <c r="AK38" i="3"/>
  <c r="AK44" i="3"/>
  <c r="AK50" i="3"/>
  <c r="AK56" i="3"/>
  <c r="AK62" i="3"/>
  <c r="AK68" i="3"/>
  <c r="AK74" i="3"/>
  <c r="AJ77" i="3"/>
  <c r="AJ76" i="3"/>
  <c r="AJ75" i="3"/>
  <c r="AJ65" i="3"/>
  <c r="AJ64" i="3"/>
  <c r="AJ63" i="3"/>
  <c r="AJ58" i="3"/>
  <c r="AJ59" i="3"/>
  <c r="AJ57" i="3"/>
  <c r="AJ51" i="3"/>
  <c r="AJ53" i="3"/>
  <c r="AJ52" i="3"/>
  <c r="AJ45" i="3"/>
  <c r="AJ47" i="3"/>
  <c r="AJ46" i="3"/>
  <c r="AJ41" i="3"/>
  <c r="AJ40" i="3"/>
  <c r="AJ39" i="3"/>
  <c r="AJ35" i="3"/>
  <c r="AJ34" i="3"/>
  <c r="AJ33" i="3"/>
  <c r="AJ29" i="3"/>
  <c r="AJ28" i="3"/>
  <c r="AJ27" i="3"/>
  <c r="AJ23" i="3"/>
  <c r="AJ22" i="3"/>
  <c r="AJ21" i="3"/>
  <c r="AJ15" i="3"/>
  <c r="AJ17" i="3"/>
  <c r="AJ16" i="3"/>
  <c r="AJ71" i="3"/>
  <c r="AJ70" i="3"/>
  <c r="AJ69" i="3"/>
  <c r="U8" i="3"/>
  <c r="V8" i="3" s="1"/>
  <c r="U72" i="3"/>
  <c r="U43" i="3"/>
  <c r="U7" i="3"/>
  <c r="U34" i="3"/>
  <c r="U70" i="3"/>
  <c r="U46" i="3"/>
  <c r="U41" i="3"/>
  <c r="U17" i="3"/>
  <c r="U45" i="3"/>
  <c r="U22" i="3"/>
  <c r="U65" i="3"/>
  <c r="U38" i="3"/>
  <c r="U16" i="3"/>
  <c r="U13" i="3"/>
  <c r="U44" i="3"/>
  <c r="U20" i="3"/>
  <c r="U71" i="3"/>
  <c r="U37" i="3"/>
  <c r="U10" i="3"/>
  <c r="U33" i="3"/>
  <c r="U9" i="3"/>
  <c r="U57" i="3"/>
  <c r="U32" i="3"/>
  <c r="U64" i="3"/>
  <c r="U42" i="3"/>
  <c r="U62" i="3"/>
  <c r="U40" i="3"/>
  <c r="U66" i="3"/>
  <c r="U59" i="3"/>
  <c r="U31" i="3"/>
  <c r="U60" i="3"/>
  <c r="U21" i="3"/>
  <c r="U63" i="3"/>
  <c r="U47" i="3"/>
  <c r="U24" i="3"/>
  <c r="U68" i="3"/>
  <c r="U50" i="3"/>
  <c r="U26" i="3"/>
  <c r="U75" i="3"/>
  <c r="U54" i="3"/>
  <c r="U30" i="3"/>
  <c r="U78" i="3"/>
  <c r="U52" i="3"/>
  <c r="U27" i="3"/>
  <c r="U74" i="3"/>
  <c r="V58" i="3"/>
  <c r="W58" i="3"/>
  <c r="W8" i="3"/>
  <c r="AC60" i="3"/>
  <c r="AD60" i="3"/>
  <c r="AE60" i="3"/>
  <c r="AC66" i="3"/>
  <c r="AD66" i="3"/>
  <c r="AE66" i="3"/>
  <c r="AC72" i="3"/>
  <c r="AD72" i="3"/>
  <c r="AE72" i="3"/>
  <c r="AC78" i="3"/>
  <c r="AD78" i="3"/>
  <c r="AE78" i="3"/>
  <c r="AK78" i="3" l="1"/>
  <c r="AK18" i="3"/>
  <c r="AK30" i="3"/>
  <c r="AJ24" i="3"/>
  <c r="AJ78" i="3"/>
  <c r="AK48" i="3"/>
  <c r="AK12" i="3"/>
  <c r="AK54" i="3"/>
  <c r="AK66" i="3"/>
  <c r="AJ42" i="3"/>
  <c r="AK42" i="3"/>
  <c r="AK36" i="3"/>
  <c r="AJ30" i="3"/>
  <c r="AJ72" i="3"/>
  <c r="AJ60" i="3"/>
  <c r="AK72" i="3"/>
  <c r="AK24" i="3"/>
  <c r="AJ66" i="3"/>
  <c r="AJ36" i="3"/>
  <c r="AK60" i="3"/>
  <c r="AJ18" i="3"/>
  <c r="AJ48" i="3"/>
  <c r="AJ54" i="3"/>
  <c r="U51" i="3"/>
  <c r="U28" i="3"/>
  <c r="U73" i="3"/>
  <c r="U53" i="3"/>
  <c r="U29" i="3"/>
  <c r="U77" i="3"/>
  <c r="U49" i="3"/>
  <c r="U25" i="3"/>
  <c r="AS51" i="3" s="1" a="1"/>
  <c r="AS51" i="3" s="1"/>
  <c r="U76" i="3"/>
  <c r="U48" i="3"/>
  <c r="U23" i="3"/>
  <c r="U67" i="3"/>
  <c r="U11" i="3"/>
  <c r="U56" i="3"/>
  <c r="U36" i="3"/>
  <c r="U55" i="3"/>
  <c r="AS65" i="3" s="1" a="1"/>
  <c r="AS65" i="3" s="1"/>
  <c r="U35" i="3"/>
  <c r="U15" i="3"/>
  <c r="U39" i="3"/>
  <c r="U61" i="3"/>
  <c r="AS21" i="3" a="1"/>
  <c r="AS21" i="3" s="1"/>
  <c r="V71" i="3"/>
  <c r="W71" i="3"/>
  <c r="V69" i="3"/>
  <c r="W69" i="3"/>
  <c r="V74" i="3"/>
  <c r="W74" i="3"/>
  <c r="V78" i="3"/>
  <c r="W78" i="3"/>
  <c r="V75" i="3"/>
  <c r="W75" i="3"/>
  <c r="V68" i="3"/>
  <c r="W68" i="3"/>
  <c r="W24" i="3"/>
  <c r="V24" i="3"/>
  <c r="V60" i="3"/>
  <c r="W60" i="3"/>
  <c r="V59" i="3"/>
  <c r="W59" i="3"/>
  <c r="V66" i="3"/>
  <c r="W66" i="3"/>
  <c r="V57" i="3"/>
  <c r="W57" i="3"/>
  <c r="V65" i="3"/>
  <c r="W65" i="3"/>
  <c r="W40" i="3"/>
  <c r="V40" i="3"/>
  <c r="V7" i="3"/>
  <c r="W7" i="3"/>
  <c r="W18" i="3"/>
  <c r="V32" i="3"/>
  <c r="V41" i="3"/>
  <c r="W41" i="3"/>
  <c r="V34" i="3"/>
  <c r="W34" i="3"/>
  <c r="W43" i="3"/>
  <c r="V43" i="3"/>
  <c r="V16" i="3"/>
  <c r="W16" i="3"/>
  <c r="W44" i="3"/>
  <c r="V44" i="3"/>
  <c r="W42" i="3"/>
  <c r="V42" i="3"/>
  <c r="V10" i="3"/>
  <c r="W10" i="3"/>
  <c r="W46" i="3"/>
  <c r="V46" i="3"/>
  <c r="W26" i="3"/>
  <c r="V26" i="3"/>
  <c r="W20" i="3"/>
  <c r="V20" i="3"/>
  <c r="AS63" i="3" l="1" a="1"/>
  <c r="AS63" i="3" s="1"/>
  <c r="AS17" i="3" a="1"/>
  <c r="AS17" i="3" s="1"/>
  <c r="AS27" i="3" a="1"/>
  <c r="AS27" i="3" s="1"/>
  <c r="AS69" i="3" a="1"/>
  <c r="AS69" i="3" s="1"/>
  <c r="AS75" i="3" a="1"/>
  <c r="AS75" i="3" s="1"/>
  <c r="AS23" i="3" a="1"/>
  <c r="AS23" i="3" s="1"/>
  <c r="AS47" i="3" a="1"/>
  <c r="AS47" i="3" s="1"/>
  <c r="AS71" i="3" a="1"/>
  <c r="AS71" i="3" s="1"/>
  <c r="AS29" i="3" a="1"/>
  <c r="AS29" i="3" s="1"/>
  <c r="AS53" i="3" a="1"/>
  <c r="AS53" i="3" s="1"/>
  <c r="AS77" i="3" a="1"/>
  <c r="AS77" i="3" s="1"/>
  <c r="AS9" i="3" a="1"/>
  <c r="AS9" i="3" s="1"/>
  <c r="AS33" i="3" a="1"/>
  <c r="AS33" i="3" s="1"/>
  <c r="AS57" i="3" a="1"/>
  <c r="AS57" i="3" s="1"/>
  <c r="AS11" i="3" a="1"/>
  <c r="AS11" i="3" s="1"/>
  <c r="AS35" i="3" a="1"/>
  <c r="AS35" i="3" s="1"/>
  <c r="AS59" i="3" a="1"/>
  <c r="AS59" i="3" s="1"/>
  <c r="AS15" i="3" a="1"/>
  <c r="AS15" i="3" s="1"/>
  <c r="AS39" i="3" a="1"/>
  <c r="AS39" i="3" s="1"/>
  <c r="AS41" i="3" a="1"/>
  <c r="AS41" i="3" s="1"/>
  <c r="AR27" i="3" a="1"/>
  <c r="AR27" i="3" s="1"/>
  <c r="AS45" i="3" a="1"/>
  <c r="AS45" i="3" s="1"/>
  <c r="AR77" i="3" a="1"/>
  <c r="AR77" i="3" s="1"/>
  <c r="AP20" i="3" a="1"/>
  <c r="AP20" i="3" s="1"/>
  <c r="AP34" i="3" a="1"/>
  <c r="AP34" i="3" s="1"/>
  <c r="AP46" i="3" a="1"/>
  <c r="AP46" i="3" s="1"/>
  <c r="AP58" i="3" a="1"/>
  <c r="AP58" i="3" s="1"/>
  <c r="AP68" i="3" a="1"/>
  <c r="AP68" i="3" s="1"/>
  <c r="AP70" i="3" a="1"/>
  <c r="AP70" i="3" s="1"/>
  <c r="AP74" i="3" a="1"/>
  <c r="AP74" i="3" s="1"/>
  <c r="AP76" i="3" a="1"/>
  <c r="AP76" i="3" s="1"/>
  <c r="AP8" i="3" a="1"/>
  <c r="AP8" i="3" s="1"/>
  <c r="AQ10" i="3" a="1"/>
  <c r="AQ10" i="3" s="1"/>
  <c r="AQ14" i="3" a="1"/>
  <c r="AQ14" i="3" s="1"/>
  <c r="AQ16" i="3" a="1"/>
  <c r="AQ16" i="3" s="1"/>
  <c r="AQ20" i="3" a="1"/>
  <c r="AQ20" i="3" s="1"/>
  <c r="AQ22" i="3" a="1"/>
  <c r="AQ22" i="3" s="1"/>
  <c r="AQ26" i="3" a="1"/>
  <c r="AQ26" i="3" s="1"/>
  <c r="AQ28" i="3" a="1"/>
  <c r="AQ28" i="3" s="1"/>
  <c r="AQ32" i="3" a="1"/>
  <c r="AQ32" i="3" s="1"/>
  <c r="AQ34" i="3" a="1"/>
  <c r="AQ34" i="3" s="1"/>
  <c r="AQ38" i="3" a="1"/>
  <c r="AQ38" i="3" s="1"/>
  <c r="AQ40" i="3" a="1"/>
  <c r="AQ40" i="3" s="1"/>
  <c r="AQ44" i="3" a="1"/>
  <c r="AQ44" i="3" s="1"/>
  <c r="AQ46" i="3" a="1"/>
  <c r="AQ46" i="3" s="1"/>
  <c r="AQ50" i="3" a="1"/>
  <c r="AQ50" i="3" s="1"/>
  <c r="AQ52" i="3" a="1"/>
  <c r="AQ52" i="3" s="1"/>
  <c r="AQ56" i="3" a="1"/>
  <c r="AQ56" i="3" s="1"/>
  <c r="AQ58" i="3" a="1"/>
  <c r="AQ58" i="3" s="1"/>
  <c r="AQ62" i="3" a="1"/>
  <c r="AQ62" i="3" s="1"/>
  <c r="AQ64" i="3" a="1"/>
  <c r="AQ64" i="3" s="1"/>
  <c r="AQ68" i="3" a="1"/>
  <c r="AQ68" i="3" s="1"/>
  <c r="AQ70" i="3" a="1"/>
  <c r="AQ70" i="3" s="1"/>
  <c r="AQ74" i="3" a="1"/>
  <c r="AQ74" i="3" s="1"/>
  <c r="AQ76" i="3" a="1"/>
  <c r="AQ76" i="3" s="1"/>
  <c r="AQ8" i="3" a="1"/>
  <c r="AQ8" i="3" s="1"/>
  <c r="AP14" i="3" a="1"/>
  <c r="AP14" i="3" s="1"/>
  <c r="AP28" i="3" a="1"/>
  <c r="AP28" i="3" s="1"/>
  <c r="AP44" i="3" a="1"/>
  <c r="AP44" i="3" s="1"/>
  <c r="AP62" i="3" a="1"/>
  <c r="AP62" i="3" s="1"/>
  <c r="AR22" i="3" a="1"/>
  <c r="AR22" i="3" s="1"/>
  <c r="AR28" i="3" a="1"/>
  <c r="AR28" i="3" s="1"/>
  <c r="AR32" i="3" a="1"/>
  <c r="AR32" i="3" s="1"/>
  <c r="AR34" i="3" a="1"/>
  <c r="AR34" i="3" s="1"/>
  <c r="AR38" i="3" a="1"/>
  <c r="AR38" i="3" s="1"/>
  <c r="AR40" i="3" a="1"/>
  <c r="AR40" i="3" s="1"/>
  <c r="AR44" i="3" a="1"/>
  <c r="AR44" i="3" s="1"/>
  <c r="AR46" i="3" a="1"/>
  <c r="AR46" i="3" s="1"/>
  <c r="AR50" i="3" a="1"/>
  <c r="AR50" i="3" s="1"/>
  <c r="AR52" i="3" a="1"/>
  <c r="AR52" i="3" s="1"/>
  <c r="AR56" i="3" a="1"/>
  <c r="AR56" i="3" s="1"/>
  <c r="AR58" i="3" a="1"/>
  <c r="AR58" i="3" s="1"/>
  <c r="AR62" i="3" a="1"/>
  <c r="AR62" i="3" s="1"/>
  <c r="AR64" i="3" a="1"/>
  <c r="AR64" i="3" s="1"/>
  <c r="AR68" i="3" a="1"/>
  <c r="AR68" i="3" s="1"/>
  <c r="AR70" i="3" a="1"/>
  <c r="AR70" i="3" s="1"/>
  <c r="AR74" i="3" a="1"/>
  <c r="AR74" i="3" s="1"/>
  <c r="AR76" i="3" a="1"/>
  <c r="AR76" i="3" s="1"/>
  <c r="AR8" i="3" a="1"/>
  <c r="AR8" i="3" s="1"/>
  <c r="AP22" i="3" a="1"/>
  <c r="AP22" i="3" s="1"/>
  <c r="AP38" i="3" a="1"/>
  <c r="AP38" i="3" s="1"/>
  <c r="AP50" i="3" a="1"/>
  <c r="AP50" i="3" s="1"/>
  <c r="AP64" i="3" a="1"/>
  <c r="AP64" i="3" s="1"/>
  <c r="AR20" i="3" a="1"/>
  <c r="AR20" i="3" s="1"/>
  <c r="AS14" i="3" a="1"/>
  <c r="AS14" i="3" s="1"/>
  <c r="AS22" i="3" a="1"/>
  <c r="AS22" i="3" s="1"/>
  <c r="AS32" i="3" a="1"/>
  <c r="AS32" i="3" s="1"/>
  <c r="AS34" i="3" a="1"/>
  <c r="AS34" i="3" s="1"/>
  <c r="AS38" i="3" a="1"/>
  <c r="AS38" i="3" s="1"/>
  <c r="AS40" i="3" a="1"/>
  <c r="AS40" i="3" s="1"/>
  <c r="AS44" i="3" a="1"/>
  <c r="AS44" i="3" s="1"/>
  <c r="AS46" i="3" a="1"/>
  <c r="AS46" i="3" s="1"/>
  <c r="AS50" i="3" a="1"/>
  <c r="AS50" i="3" s="1"/>
  <c r="AS52" i="3" a="1"/>
  <c r="AS52" i="3" s="1"/>
  <c r="AS56" i="3" a="1"/>
  <c r="AS56" i="3" s="1"/>
  <c r="AS58" i="3" a="1"/>
  <c r="AS58" i="3" s="1"/>
  <c r="AS62" i="3" a="1"/>
  <c r="AS62" i="3" s="1"/>
  <c r="AS64" i="3" a="1"/>
  <c r="AS64" i="3" s="1"/>
  <c r="AS68" i="3" a="1"/>
  <c r="AS68" i="3" s="1"/>
  <c r="AS70" i="3" a="1"/>
  <c r="AS70" i="3" s="1"/>
  <c r="AS74" i="3" a="1"/>
  <c r="AS74" i="3" s="1"/>
  <c r="AS76" i="3" a="1"/>
  <c r="AS76" i="3" s="1"/>
  <c r="AS8" i="3" a="1"/>
  <c r="AS8" i="3" s="1"/>
  <c r="AP16" i="3" a="1"/>
  <c r="AP16" i="3" s="1"/>
  <c r="AP32" i="3" a="1"/>
  <c r="AP32" i="3" s="1"/>
  <c r="AP56" i="3" a="1"/>
  <c r="AP56" i="3" s="1"/>
  <c r="AR10" i="3" a="1"/>
  <c r="AR10" i="3" s="1"/>
  <c r="AR16" i="3" a="1"/>
  <c r="AR16" i="3" s="1"/>
  <c r="AS10" i="3" a="1"/>
  <c r="AS10" i="3" s="1"/>
  <c r="AS20" i="3" a="1"/>
  <c r="AS20" i="3" s="1"/>
  <c r="AS28" i="3" a="1"/>
  <c r="AS28" i="3" s="1"/>
  <c r="AP9" i="3" a="1"/>
  <c r="AP9" i="3" s="1"/>
  <c r="AP11" i="3" a="1"/>
  <c r="AP11" i="3" s="1"/>
  <c r="AP15" i="3" a="1"/>
  <c r="AP15" i="3" s="1"/>
  <c r="AP17" i="3" a="1"/>
  <c r="AP17" i="3" s="1"/>
  <c r="AP21" i="3" a="1"/>
  <c r="AP21" i="3" s="1"/>
  <c r="AP23" i="3" a="1"/>
  <c r="AP23" i="3" s="1"/>
  <c r="AP27" i="3" a="1"/>
  <c r="AP27" i="3" s="1"/>
  <c r="AP29" i="3" a="1"/>
  <c r="AP29" i="3" s="1"/>
  <c r="AP33" i="3" a="1"/>
  <c r="AP33" i="3" s="1"/>
  <c r="AP35" i="3" a="1"/>
  <c r="AP35" i="3" s="1"/>
  <c r="AP39" i="3" a="1"/>
  <c r="AP39" i="3" s="1"/>
  <c r="AP41" i="3" a="1"/>
  <c r="AP41" i="3" s="1"/>
  <c r="AP45" i="3" a="1"/>
  <c r="AP45" i="3" s="1"/>
  <c r="AP47" i="3" a="1"/>
  <c r="AP47" i="3" s="1"/>
  <c r="AP51" i="3" a="1"/>
  <c r="AP51" i="3" s="1"/>
  <c r="AP53" i="3" a="1"/>
  <c r="AP53" i="3" s="1"/>
  <c r="AP57" i="3" a="1"/>
  <c r="AP57" i="3" s="1"/>
  <c r="AP59" i="3" a="1"/>
  <c r="AP59" i="3" s="1"/>
  <c r="AP63" i="3" a="1"/>
  <c r="AP63" i="3" s="1"/>
  <c r="AP65" i="3" a="1"/>
  <c r="AP65" i="3" s="1"/>
  <c r="AP69" i="3" a="1"/>
  <c r="AP69" i="3" s="1"/>
  <c r="AP71" i="3" a="1"/>
  <c r="AP71" i="3" s="1"/>
  <c r="AP75" i="3" a="1"/>
  <c r="AP75" i="3" s="1"/>
  <c r="AP77" i="3" a="1"/>
  <c r="AP77" i="3" s="1"/>
  <c r="AP10" i="3" a="1"/>
  <c r="AP10" i="3" s="1"/>
  <c r="AP26" i="3" a="1"/>
  <c r="AP26" i="3" s="1"/>
  <c r="AP40" i="3" a="1"/>
  <c r="AP40" i="3" s="1"/>
  <c r="AP52" i="3" a="1"/>
  <c r="AP52" i="3" s="1"/>
  <c r="AR14" i="3" a="1"/>
  <c r="AR14" i="3" s="1"/>
  <c r="AR26" i="3" a="1"/>
  <c r="AR26" i="3" s="1"/>
  <c r="AS16" i="3" a="1"/>
  <c r="AS16" i="3" s="1"/>
  <c r="AS26" i="3" a="1"/>
  <c r="AS26" i="3" s="1"/>
  <c r="AQ9" i="3" a="1"/>
  <c r="AQ9" i="3" s="1"/>
  <c r="AQ11" i="3" a="1"/>
  <c r="AQ11" i="3" s="1"/>
  <c r="AQ15" i="3" a="1"/>
  <c r="AQ15" i="3" s="1"/>
  <c r="AQ18" i="3" s="1"/>
  <c r="AQ17" i="3" a="1"/>
  <c r="AQ17" i="3" s="1"/>
  <c r="AQ21" i="3" a="1"/>
  <c r="AQ21" i="3" s="1"/>
  <c r="AQ23" i="3" a="1"/>
  <c r="AQ23" i="3" s="1"/>
  <c r="AQ27" i="3" a="1"/>
  <c r="AQ27" i="3" s="1"/>
  <c r="AQ29" i="3" a="1"/>
  <c r="AQ29" i="3" s="1"/>
  <c r="AQ33" i="3" a="1"/>
  <c r="AQ33" i="3" s="1"/>
  <c r="AQ35" i="3" a="1"/>
  <c r="AQ35" i="3" s="1"/>
  <c r="AQ39" i="3" a="1"/>
  <c r="AQ39" i="3" s="1"/>
  <c r="AQ41" i="3" a="1"/>
  <c r="AQ41" i="3" s="1"/>
  <c r="AQ45" i="3" a="1"/>
  <c r="AQ45" i="3" s="1"/>
  <c r="AQ47" i="3" a="1"/>
  <c r="AQ47" i="3" s="1"/>
  <c r="AQ51" i="3" a="1"/>
  <c r="AQ51" i="3" s="1"/>
  <c r="AQ53" i="3" a="1"/>
  <c r="AQ53" i="3" s="1"/>
  <c r="AQ57" i="3" a="1"/>
  <c r="AQ57" i="3" s="1"/>
  <c r="AQ59" i="3" a="1"/>
  <c r="AQ59" i="3" s="1"/>
  <c r="AQ63" i="3" a="1"/>
  <c r="AQ63" i="3" s="1"/>
  <c r="AQ65" i="3" a="1"/>
  <c r="AQ65" i="3" s="1"/>
  <c r="AQ69" i="3" a="1"/>
  <c r="AQ69" i="3" s="1"/>
  <c r="AQ71" i="3" a="1"/>
  <c r="AQ71" i="3" s="1"/>
  <c r="AQ75" i="3" a="1"/>
  <c r="AQ75" i="3" s="1"/>
  <c r="AQ77" i="3" a="1"/>
  <c r="AQ77" i="3" s="1"/>
  <c r="AR9" i="3" a="1"/>
  <c r="AR9" i="3" s="1"/>
  <c r="AR11" i="3" a="1"/>
  <c r="AR11" i="3" s="1"/>
  <c r="AR15" i="3" a="1"/>
  <c r="AR15" i="3" s="1"/>
  <c r="AR17" i="3" a="1"/>
  <c r="AR17" i="3" s="1"/>
  <c r="AR21" i="3" a="1"/>
  <c r="AR21" i="3" s="1"/>
  <c r="AR23" i="3" a="1"/>
  <c r="AR23" i="3" s="1"/>
  <c r="AR29" i="3" a="1"/>
  <c r="AR29" i="3" s="1"/>
  <c r="AR33" i="3" a="1"/>
  <c r="AR33" i="3" s="1"/>
  <c r="AR35" i="3" a="1"/>
  <c r="AR35" i="3" s="1"/>
  <c r="AR39" i="3" a="1"/>
  <c r="AR39" i="3" s="1"/>
  <c r="AR41" i="3" a="1"/>
  <c r="AR41" i="3" s="1"/>
  <c r="AR45" i="3" a="1"/>
  <c r="AR45" i="3" s="1"/>
  <c r="AR47" i="3" a="1"/>
  <c r="AR47" i="3" s="1"/>
  <c r="AR51" i="3" a="1"/>
  <c r="AR51" i="3" s="1"/>
  <c r="AR53" i="3" a="1"/>
  <c r="AR53" i="3" s="1"/>
  <c r="AR57" i="3" a="1"/>
  <c r="AR57" i="3" s="1"/>
  <c r="AR59" i="3" a="1"/>
  <c r="AR59" i="3" s="1"/>
  <c r="AR63" i="3" a="1"/>
  <c r="AR63" i="3" s="1"/>
  <c r="AR65" i="3" a="1"/>
  <c r="AR65" i="3" s="1"/>
  <c r="AR69" i="3" a="1"/>
  <c r="AR69" i="3" s="1"/>
  <c r="AR71" i="3" a="1"/>
  <c r="AR71" i="3" s="1"/>
  <c r="AR75" i="3" a="1"/>
  <c r="AR75" i="3" s="1"/>
  <c r="V61" i="3"/>
  <c r="W61" i="3"/>
  <c r="V55" i="3"/>
  <c r="W55" i="3"/>
  <c r="V56" i="3"/>
  <c r="W56" i="3"/>
  <c r="V47" i="3"/>
  <c r="W47" i="3"/>
  <c r="V50" i="3"/>
  <c r="W50" i="3"/>
  <c r="V52" i="3"/>
  <c r="W52" i="3"/>
  <c r="V70" i="3"/>
  <c r="W70" i="3"/>
  <c r="V63" i="3"/>
  <c r="W63" i="3"/>
  <c r="V72" i="3"/>
  <c r="W72" i="3"/>
  <c r="V64" i="3"/>
  <c r="W64" i="3"/>
  <c r="V62" i="3"/>
  <c r="W62" i="3"/>
  <c r="W39" i="3"/>
  <c r="V39" i="3"/>
  <c r="V54" i="3"/>
  <c r="W54" i="3"/>
  <c r="W32" i="3"/>
  <c r="V18" i="3"/>
  <c r="W12" i="3"/>
  <c r="V12" i="3"/>
  <c r="W23" i="3"/>
  <c r="V23" i="3"/>
  <c r="W37" i="3"/>
  <c r="V37" i="3"/>
  <c r="V21" i="3"/>
  <c r="W21" i="3"/>
  <c r="V28" i="3"/>
  <c r="W28" i="3"/>
  <c r="W31" i="3"/>
  <c r="V31" i="3"/>
  <c r="V9" i="3"/>
  <c r="W9" i="3"/>
  <c r="V25" i="3"/>
  <c r="W25" i="3"/>
  <c r="W36" i="3"/>
  <c r="V36" i="3"/>
  <c r="V30" i="3"/>
  <c r="W30" i="3"/>
  <c r="W35" i="3"/>
  <c r="V35" i="3"/>
  <c r="W45" i="3"/>
  <c r="V45" i="3"/>
  <c r="W11" i="3"/>
  <c r="V11" i="3"/>
  <c r="V33" i="3"/>
  <c r="W33" i="3"/>
  <c r="W19" i="3"/>
  <c r="V19" i="3"/>
  <c r="W17" i="3"/>
  <c r="V17" i="3"/>
  <c r="W22" i="3"/>
  <c r="V22" i="3"/>
  <c r="V27" i="3"/>
  <c r="W27" i="3"/>
  <c r="V14" i="3"/>
  <c r="W14" i="3"/>
  <c r="W38" i="3"/>
  <c r="V38" i="3"/>
  <c r="V29" i="3"/>
  <c r="W29" i="3"/>
  <c r="W15" i="3"/>
  <c r="V15" i="3"/>
  <c r="W13" i="3"/>
  <c r="V13" i="3"/>
  <c r="V73" i="3" l="1"/>
  <c r="W73" i="3"/>
  <c r="V51" i="3"/>
  <c r="W51" i="3"/>
  <c r="V77" i="3"/>
  <c r="W77" i="3"/>
  <c r="V53" i="3"/>
  <c r="W53" i="3"/>
  <c r="V76" i="3"/>
  <c r="W76" i="3"/>
  <c r="V49" i="3"/>
  <c r="W49" i="3"/>
  <c r="V67" i="3"/>
  <c r="W67" i="3"/>
  <c r="V48" i="3"/>
  <c r="W48" i="3"/>
  <c r="AT11" i="3"/>
  <c r="AT28" i="3"/>
  <c r="AQ30" i="3"/>
  <c r="AT45" i="3"/>
  <c r="AT15" i="3"/>
  <c r="AT17" i="3"/>
  <c r="AS24" i="3"/>
  <c r="AT21" i="3"/>
  <c r="AT41" i="3"/>
  <c r="AT47" i="3"/>
  <c r="AT22" i="3"/>
  <c r="AQ12" i="3"/>
  <c r="AQ24" i="3"/>
  <c r="AS48" i="3"/>
  <c r="AS12" i="3"/>
  <c r="AT38" i="3"/>
  <c r="AR42" i="3"/>
  <c r="AT29" i="3"/>
  <c r="AP18" i="3"/>
  <c r="AP24" i="3"/>
  <c r="AR30" i="3"/>
  <c r="AT26" i="3"/>
  <c r="AT50" i="3"/>
  <c r="AR54" i="3"/>
  <c r="AP30" i="3"/>
  <c r="AT39" i="3"/>
  <c r="AP42" i="3"/>
  <c r="AT46" i="3"/>
  <c r="AT35" i="3"/>
  <c r="AP12" i="3"/>
  <c r="AP36" i="3"/>
  <c r="AT51" i="3"/>
  <c r="AR36" i="3"/>
  <c r="AT32" i="3"/>
  <c r="AT52" i="3"/>
  <c r="AP48" i="3"/>
  <c r="AT9" i="3"/>
  <c r="AS42" i="3"/>
  <c r="AQ42" i="3"/>
  <c r="AR12" i="3"/>
  <c r="AT8" i="3"/>
  <c r="AT10" i="3"/>
  <c r="AS30" i="3"/>
  <c r="AP54" i="3"/>
  <c r="AQ36" i="3"/>
  <c r="AT34" i="3"/>
  <c r="AS36" i="3"/>
  <c r="AS54" i="3"/>
  <c r="AT27" i="3"/>
  <c r="AT16" i="3"/>
  <c r="AT44" i="3"/>
  <c r="AR48" i="3"/>
  <c r="AS18" i="3"/>
  <c r="AT33" i="3"/>
  <c r="AT20" i="3"/>
  <c r="AR24" i="3"/>
  <c r="AT14" i="3"/>
  <c r="AR18" i="3"/>
  <c r="AQ54" i="3"/>
  <c r="AQ48" i="3"/>
  <c r="AT40" i="3"/>
  <c r="AT23" i="3"/>
  <c r="AT53" i="3"/>
  <c r="AU53" i="3" l="1"/>
  <c r="AU40" i="3"/>
  <c r="AU10" i="3"/>
  <c r="AU27" i="3"/>
  <c r="AU33" i="3"/>
  <c r="AU23" i="3"/>
  <c r="AU44" i="3"/>
  <c r="AU14" i="3"/>
  <c r="AU8" i="3"/>
  <c r="AU20" i="3"/>
  <c r="AU16" i="3"/>
  <c r="AU34" i="3"/>
  <c r="AU9" i="3"/>
  <c r="AU52" i="3"/>
  <c r="AU32" i="3"/>
  <c r="AU51" i="3"/>
  <c r="AU35" i="3"/>
  <c r="AU46" i="3"/>
  <c r="AU39" i="3"/>
  <c r="AU50" i="3"/>
  <c r="AU26" i="3"/>
  <c r="AU29" i="3"/>
  <c r="AU38" i="3"/>
  <c r="AU22" i="3"/>
  <c r="AU47" i="3"/>
  <c r="AU41" i="3"/>
  <c r="AU21" i="3"/>
  <c r="AU17" i="3"/>
  <c r="AU15" i="3"/>
  <c r="AU45" i="3"/>
  <c r="AU28" i="3"/>
  <c r="AU11" i="3"/>
  <c r="AU48" i="3" l="1"/>
  <c r="AV44" i="3" s="1"/>
  <c r="AU18" i="3"/>
  <c r="AV15" i="3" s="1"/>
  <c r="AU42" i="3"/>
  <c r="AV38" i="3" s="1"/>
  <c r="AU30" i="3"/>
  <c r="AV26" i="3" s="1"/>
  <c r="AU54" i="3"/>
  <c r="AV53" i="3" s="1"/>
  <c r="AV39" i="3"/>
  <c r="AU36" i="3"/>
  <c r="AU12" i="3"/>
  <c r="AU24" i="3"/>
  <c r="AV17" i="3" l="1"/>
  <c r="AV51" i="3"/>
  <c r="AV45" i="3"/>
  <c r="AV52" i="3"/>
  <c r="AV47" i="3"/>
  <c r="AV50" i="3"/>
  <c r="AV46" i="3"/>
  <c r="AV20" i="3"/>
  <c r="AV23" i="3"/>
  <c r="AV21" i="3"/>
  <c r="AV22" i="3"/>
  <c r="AV9" i="3"/>
  <c r="AV10" i="3"/>
  <c r="AV8" i="3"/>
  <c r="AV11" i="3"/>
  <c r="AV32" i="3"/>
  <c r="AV33" i="3"/>
  <c r="AV34" i="3"/>
  <c r="AV35" i="3"/>
  <c r="AV27" i="3"/>
  <c r="AV28" i="3"/>
  <c r="AV29" i="3"/>
  <c r="AV40" i="3"/>
  <c r="AV41" i="3"/>
  <c r="AV14" i="3"/>
  <c r="AV16" i="3"/>
  <c r="AV54" i="3" l="1"/>
  <c r="AW53" i="3" s="1"/>
  <c r="AL53" i="3" s="1"/>
  <c r="AV48" i="3"/>
  <c r="AW44" i="3" s="1"/>
  <c r="AL44" i="3" s="1"/>
  <c r="AV18" i="3"/>
  <c r="AW14" i="3" s="1"/>
  <c r="AL14" i="3" s="1"/>
  <c r="AV42" i="3"/>
  <c r="AV30" i="3"/>
  <c r="AV36" i="3"/>
  <c r="AW32" i="3"/>
  <c r="AL32" i="3" s="1"/>
  <c r="AV12" i="3"/>
  <c r="AW11" i="3" s="1"/>
  <c r="AL11" i="3" s="1"/>
  <c r="AV24" i="3"/>
  <c r="AW20" i="3" s="1"/>
  <c r="AL20" i="3" s="1"/>
  <c r="AW51" i="3" l="1"/>
  <c r="AL51" i="3" s="1"/>
  <c r="AW9" i="3"/>
  <c r="AL9" i="3" s="1"/>
  <c r="AW46" i="3"/>
  <c r="AL46" i="3" s="1"/>
  <c r="AW8" i="3"/>
  <c r="AL8" i="3" s="1"/>
  <c r="AW10" i="3"/>
  <c r="AL10" i="3" s="1"/>
  <c r="AW52" i="3"/>
  <c r="AL52" i="3" s="1"/>
  <c r="AW50" i="3"/>
  <c r="AL50" i="3" s="1"/>
  <c r="AL54" i="3" s="1"/>
  <c r="AW45" i="3"/>
  <c r="AL45" i="3" s="1"/>
  <c r="AW47" i="3"/>
  <c r="AL47" i="3" s="1"/>
  <c r="AW22" i="3"/>
  <c r="AL22" i="3" s="1"/>
  <c r="AW21" i="3"/>
  <c r="AL21" i="3" s="1"/>
  <c r="AW23" i="3"/>
  <c r="AL23" i="3" s="1"/>
  <c r="AW35" i="3"/>
  <c r="AL35" i="3" s="1"/>
  <c r="AW34" i="3"/>
  <c r="AL34" i="3" s="1"/>
  <c r="AW33" i="3"/>
  <c r="AL33" i="3" s="1"/>
  <c r="AW26" i="3"/>
  <c r="AL26" i="3" s="1"/>
  <c r="AW29" i="3"/>
  <c r="AL29" i="3" s="1"/>
  <c r="AW28" i="3"/>
  <c r="AL28" i="3" s="1"/>
  <c r="AW27" i="3"/>
  <c r="AL27" i="3" s="1"/>
  <c r="AW39" i="3"/>
  <c r="AL39" i="3" s="1"/>
  <c r="AW38" i="3"/>
  <c r="AL38" i="3" s="1"/>
  <c r="AW41" i="3"/>
  <c r="AL41" i="3" s="1"/>
  <c r="AW40" i="3"/>
  <c r="AL40" i="3" s="1"/>
  <c r="AW17" i="3"/>
  <c r="AL17" i="3" s="1"/>
  <c r="AW15" i="3"/>
  <c r="AL15" i="3" s="1"/>
  <c r="AW16" i="3"/>
  <c r="AL16" i="3" s="1"/>
  <c r="AL12" i="3" l="1"/>
  <c r="AN11" i="3" s="1"/>
  <c r="AN52" i="3"/>
  <c r="AL48" i="3"/>
  <c r="AN47" i="3" s="1"/>
  <c r="AL36" i="3"/>
  <c r="AN35" i="3" s="1"/>
  <c r="AN46" i="3"/>
  <c r="AL18" i="3"/>
  <c r="AN17" i="3" s="1"/>
  <c r="AL42" i="3"/>
  <c r="AN38" i="3" s="1"/>
  <c r="AL30" i="3"/>
  <c r="AL24" i="3"/>
  <c r="AN22" i="3" s="1"/>
  <c r="AN53" i="3"/>
  <c r="AN50" i="3"/>
  <c r="AN51" i="3"/>
  <c r="AA51" i="3" s="1"/>
  <c r="AN44" i="3"/>
  <c r="AN45" i="3"/>
  <c r="AA45" i="3" s="1"/>
  <c r="AN26" i="3"/>
  <c r="AN9" i="3"/>
  <c r="AN10" i="3"/>
  <c r="AN39" i="3" l="1"/>
  <c r="AN8" i="3"/>
  <c r="AA10" i="3" s="1"/>
  <c r="AN34" i="3"/>
  <c r="AA50" i="3"/>
  <c r="AA52" i="3"/>
  <c r="AA53" i="3"/>
  <c r="AA46" i="3"/>
  <c r="AA47" i="3"/>
  <c r="AA44" i="3"/>
  <c r="AN40" i="3"/>
  <c r="AN41" i="3"/>
  <c r="AN32" i="3"/>
  <c r="AN33" i="3"/>
  <c r="AN27" i="3"/>
  <c r="AN28" i="3"/>
  <c r="AN29" i="3"/>
  <c r="AA29" i="3" s="1"/>
  <c r="AN20" i="3"/>
  <c r="AN23" i="3"/>
  <c r="AN21" i="3"/>
  <c r="AN14" i="3"/>
  <c r="AN16" i="3"/>
  <c r="AN15" i="3"/>
  <c r="AA8" i="3"/>
  <c r="AA11" i="3"/>
  <c r="AA9" i="3"/>
  <c r="AA15" i="3" l="1"/>
  <c r="AA21" i="3"/>
  <c r="AA41" i="3"/>
  <c r="AA33" i="3"/>
  <c r="J54" i="3"/>
  <c r="J53" i="3"/>
  <c r="AB87" i="3" s="1"/>
  <c r="AP87" i="3" s="1"/>
  <c r="J52" i="3"/>
  <c r="AZ59" i="3" s="1"/>
  <c r="J51" i="3"/>
  <c r="N51" i="3"/>
  <c r="O54" i="3"/>
  <c r="M54" i="3"/>
  <c r="L54" i="3"/>
  <c r="N54" i="3"/>
  <c r="N52" i="3"/>
  <c r="O53" i="3"/>
  <c r="M52" i="3"/>
  <c r="L51" i="3"/>
  <c r="M51" i="3"/>
  <c r="L52" i="3"/>
  <c r="M53" i="3"/>
  <c r="L53" i="3"/>
  <c r="O51" i="3"/>
  <c r="O52" i="3"/>
  <c r="N53" i="3"/>
  <c r="J48" i="3"/>
  <c r="J47" i="3"/>
  <c r="AB86" i="3" s="1"/>
  <c r="AP86" i="3" s="1"/>
  <c r="J46" i="3"/>
  <c r="AZ63" i="3" s="1"/>
  <c r="J45" i="3"/>
  <c r="N47" i="3"/>
  <c r="L47" i="3"/>
  <c r="N46" i="3"/>
  <c r="L46" i="3"/>
  <c r="M45" i="3"/>
  <c r="O46" i="3"/>
  <c r="O48" i="3"/>
  <c r="N45" i="3"/>
  <c r="M46" i="3"/>
  <c r="O47" i="3"/>
  <c r="N48" i="3"/>
  <c r="L45" i="3"/>
  <c r="O45" i="3"/>
  <c r="M47" i="3"/>
  <c r="M48" i="3"/>
  <c r="L48" i="3"/>
  <c r="AA40" i="3"/>
  <c r="AA39" i="3"/>
  <c r="AA38" i="3"/>
  <c r="AA32" i="3"/>
  <c r="AA35" i="3"/>
  <c r="AA34" i="3"/>
  <c r="AA28" i="3"/>
  <c r="AA27" i="3"/>
  <c r="AA26" i="3"/>
  <c r="AA23" i="3"/>
  <c r="AA20" i="3"/>
  <c r="AA22" i="3"/>
  <c r="AA16" i="3"/>
  <c r="AA14" i="3"/>
  <c r="AA17" i="3"/>
  <c r="L11" i="3"/>
  <c r="M11" i="3"/>
  <c r="O10" i="3"/>
  <c r="L10" i="3"/>
  <c r="J12" i="3"/>
  <c r="N12" i="3"/>
  <c r="N10" i="3"/>
  <c r="M10" i="3"/>
  <c r="J10" i="3"/>
  <c r="N11" i="3"/>
  <c r="O9" i="3"/>
  <c r="J11" i="3"/>
  <c r="O11" i="3"/>
  <c r="N9" i="3"/>
  <c r="O12" i="3"/>
  <c r="M9" i="3"/>
  <c r="L12" i="3"/>
  <c r="M12" i="3"/>
  <c r="J9" i="3"/>
  <c r="AZ50" i="3" s="1"/>
  <c r="L9" i="3"/>
  <c r="AB80" i="3" l="1"/>
  <c r="AP80" i="3" s="1"/>
  <c r="AZ38" i="3"/>
  <c r="AZ31" i="3"/>
  <c r="AZ30" i="3"/>
  <c r="AZ18" i="3"/>
  <c r="AE86" i="3"/>
  <c r="AF86" i="3"/>
  <c r="AG86" i="3"/>
  <c r="AI86" i="3"/>
  <c r="AK86" i="3"/>
  <c r="AM86" i="3"/>
  <c r="AE87" i="3"/>
  <c r="AF87" i="3"/>
  <c r="AG87" i="3"/>
  <c r="AI87" i="3"/>
  <c r="AK87" i="3"/>
  <c r="AM87" i="3"/>
  <c r="AC86" i="3"/>
  <c r="AD86" i="3"/>
  <c r="AC87" i="3"/>
  <c r="AD87" i="3"/>
  <c r="K53" i="3"/>
  <c r="P53" i="3"/>
  <c r="K52" i="3"/>
  <c r="P52" i="3"/>
  <c r="K51" i="3"/>
  <c r="P51" i="3"/>
  <c r="K54" i="3"/>
  <c r="P54" i="3"/>
  <c r="K48" i="3"/>
  <c r="P48" i="3"/>
  <c r="K45" i="3"/>
  <c r="P45" i="3"/>
  <c r="P46" i="3"/>
  <c r="K46" i="3"/>
  <c r="K47" i="3"/>
  <c r="P47" i="3"/>
  <c r="J42" i="3"/>
  <c r="J41" i="3"/>
  <c r="AB85" i="3" s="1"/>
  <c r="AP85" i="3" s="1"/>
  <c r="J40" i="3"/>
  <c r="AZ43" i="3" s="1"/>
  <c r="J39" i="3"/>
  <c r="N39" i="3"/>
  <c r="L41" i="3"/>
  <c r="O40" i="3"/>
  <c r="L39" i="3"/>
  <c r="M41" i="3"/>
  <c r="L42" i="3"/>
  <c r="N42" i="3"/>
  <c r="M40" i="3"/>
  <c r="O41" i="3"/>
  <c r="L40" i="3"/>
  <c r="O42" i="3"/>
  <c r="N41" i="3"/>
  <c r="M39" i="3"/>
  <c r="O39" i="3"/>
  <c r="N40" i="3"/>
  <c r="M42" i="3"/>
  <c r="J36" i="3"/>
  <c r="J35" i="3"/>
  <c r="AB84" i="3" s="1"/>
  <c r="AP84" i="3" s="1"/>
  <c r="J34" i="3"/>
  <c r="AZ46" i="3" s="1"/>
  <c r="J33" i="3"/>
  <c r="N33" i="3"/>
  <c r="L33" i="3"/>
  <c r="O33" i="3"/>
  <c r="M33" i="3"/>
  <c r="M35" i="3"/>
  <c r="L36" i="3"/>
  <c r="O34" i="3"/>
  <c r="O35" i="3"/>
  <c r="L34" i="3"/>
  <c r="O36" i="3"/>
  <c r="L35" i="3"/>
  <c r="M36" i="3"/>
  <c r="N35" i="3"/>
  <c r="M34" i="3"/>
  <c r="N36" i="3"/>
  <c r="N34" i="3"/>
  <c r="J30" i="3"/>
  <c r="J29" i="3"/>
  <c r="AB83" i="3" s="1"/>
  <c r="AP83" i="3" s="1"/>
  <c r="J28" i="3"/>
  <c r="AZ62" i="3" s="1"/>
  <c r="BG61" i="3" s="1"/>
  <c r="J27" i="3"/>
  <c r="N27" i="3"/>
  <c r="M29" i="3"/>
  <c r="M27" i="3"/>
  <c r="N29" i="3"/>
  <c r="L29" i="3"/>
  <c r="O29" i="3"/>
  <c r="L27" i="3"/>
  <c r="L28" i="3"/>
  <c r="O28" i="3"/>
  <c r="M30" i="3"/>
  <c r="M28" i="3"/>
  <c r="O30" i="3"/>
  <c r="O27" i="3"/>
  <c r="N28" i="3"/>
  <c r="N30" i="3"/>
  <c r="L30" i="3"/>
  <c r="J24" i="3"/>
  <c r="J23" i="3"/>
  <c r="AB82" i="3" s="1"/>
  <c r="AP82" i="3" s="1"/>
  <c r="J22" i="3"/>
  <c r="J21" i="3"/>
  <c r="AZ42" i="3" s="1"/>
  <c r="BG44" i="3" s="1"/>
  <c r="L21" i="3"/>
  <c r="M22" i="3"/>
  <c r="L24" i="3"/>
  <c r="M24" i="3"/>
  <c r="N24" i="3"/>
  <c r="O21" i="3"/>
  <c r="L22" i="3"/>
  <c r="O24" i="3"/>
  <c r="N21" i="3"/>
  <c r="M23" i="3"/>
  <c r="L23" i="3"/>
  <c r="O22" i="3"/>
  <c r="M21" i="3"/>
  <c r="N23" i="3"/>
  <c r="N22" i="3"/>
  <c r="O23" i="3"/>
  <c r="O15" i="3"/>
  <c r="M15" i="3"/>
  <c r="L15" i="3"/>
  <c r="J17" i="3"/>
  <c r="AB81" i="3" s="1"/>
  <c r="AP81" i="3" s="1"/>
  <c r="N15" i="3"/>
  <c r="M16" i="3"/>
  <c r="O17" i="3"/>
  <c r="J15" i="3"/>
  <c r="AZ66" i="3" s="1"/>
  <c r="L17" i="3"/>
  <c r="N17" i="3"/>
  <c r="J16" i="3"/>
  <c r="AZ19" i="3" s="1"/>
  <c r="M18" i="3"/>
  <c r="N16" i="3"/>
  <c r="O16" i="3"/>
  <c r="J18" i="3"/>
  <c r="L16" i="3"/>
  <c r="M17" i="3"/>
  <c r="O18" i="3"/>
  <c r="N18" i="3"/>
  <c r="L18" i="3"/>
  <c r="P9" i="3"/>
  <c r="K9" i="3"/>
  <c r="P12" i="3"/>
  <c r="K12" i="3"/>
  <c r="K10" i="3"/>
  <c r="P10" i="3"/>
  <c r="P11" i="3"/>
  <c r="K11" i="3"/>
  <c r="P21" i="3" l="1"/>
  <c r="AF80" i="3"/>
  <c r="AE80" i="3"/>
  <c r="AD80" i="3"/>
  <c r="AC80" i="3"/>
  <c r="AG80" i="3"/>
  <c r="AI80" i="3"/>
  <c r="AK80" i="3"/>
  <c r="AM80" i="3"/>
  <c r="BG29" i="3"/>
  <c r="BG20" i="3"/>
  <c r="S87" i="3"/>
  <c r="T87" i="3" s="1" a="1"/>
  <c r="T87" i="3" s="1"/>
  <c r="AZ34" i="3"/>
  <c r="AZ23" i="3"/>
  <c r="AZ22" i="3"/>
  <c r="S88" i="3"/>
  <c r="T88" i="3" s="1" a="1"/>
  <c r="T88" i="3" s="1"/>
  <c r="AZ10" i="3"/>
  <c r="AE81" i="3"/>
  <c r="AF81" i="3"/>
  <c r="AG81" i="3"/>
  <c r="AI81" i="3"/>
  <c r="AK81" i="3"/>
  <c r="AM81" i="3"/>
  <c r="AE82" i="3"/>
  <c r="AF82" i="3"/>
  <c r="AG82" i="3"/>
  <c r="AI82" i="3"/>
  <c r="AK82" i="3"/>
  <c r="AM82" i="3"/>
  <c r="AE83" i="3"/>
  <c r="AF83" i="3"/>
  <c r="AG83" i="3"/>
  <c r="AI83" i="3"/>
  <c r="AK83" i="3"/>
  <c r="AM83" i="3"/>
  <c r="AE84" i="3"/>
  <c r="AF84" i="3"/>
  <c r="AG84" i="3"/>
  <c r="AI84" i="3"/>
  <c r="AK84" i="3"/>
  <c r="AM84" i="3"/>
  <c r="AE85" i="3"/>
  <c r="AF85" i="3"/>
  <c r="AG85" i="3"/>
  <c r="AI85" i="3"/>
  <c r="AK85" i="3"/>
  <c r="AM85" i="3"/>
  <c r="AC82" i="3"/>
  <c r="AD82" i="3"/>
  <c r="AC83" i="3"/>
  <c r="AD83" i="3"/>
  <c r="AC84" i="3"/>
  <c r="AD84" i="3"/>
  <c r="AC85" i="3"/>
  <c r="AD85" i="3"/>
  <c r="AC81" i="3"/>
  <c r="AD81" i="3"/>
  <c r="K40" i="3"/>
  <c r="P40" i="3"/>
  <c r="K42" i="3"/>
  <c r="P42" i="3"/>
  <c r="P39" i="3"/>
  <c r="K39" i="3"/>
  <c r="P41" i="3"/>
  <c r="K41" i="3"/>
  <c r="P35" i="3"/>
  <c r="K35" i="3"/>
  <c r="P34" i="3"/>
  <c r="K34" i="3"/>
  <c r="P36" i="3"/>
  <c r="K36" i="3"/>
  <c r="P33" i="3"/>
  <c r="K33" i="3"/>
  <c r="K30" i="3"/>
  <c r="P30" i="3"/>
  <c r="P28" i="3"/>
  <c r="K28" i="3"/>
  <c r="K27" i="3"/>
  <c r="P27" i="3"/>
  <c r="K29" i="3"/>
  <c r="P29" i="3"/>
  <c r="P23" i="3"/>
  <c r="K23" i="3"/>
  <c r="P22" i="3"/>
  <c r="K22" i="3"/>
  <c r="K24" i="3"/>
  <c r="P24" i="3"/>
  <c r="K21" i="3"/>
  <c r="P18" i="3"/>
  <c r="K18" i="3"/>
  <c r="P16" i="3"/>
  <c r="K16" i="3"/>
  <c r="P17" i="3"/>
  <c r="K17" i="3"/>
  <c r="P15" i="3"/>
  <c r="K15" i="3"/>
  <c r="AT75" i="3"/>
  <c r="AT76" i="3"/>
  <c r="AT77" i="3"/>
  <c r="AT69" i="3"/>
  <c r="AT70" i="3"/>
  <c r="AT71" i="3"/>
  <c r="AT63" i="3"/>
  <c r="AT64" i="3"/>
  <c r="AT65" i="3"/>
  <c r="AT57" i="3"/>
  <c r="AT58" i="3"/>
  <c r="AT59" i="3"/>
  <c r="AP78" i="3"/>
  <c r="AQ78" i="3"/>
  <c r="AR78" i="3"/>
  <c r="AT74" i="3"/>
  <c r="AS78" i="3"/>
  <c r="AP72" i="3"/>
  <c r="AQ72" i="3"/>
  <c r="AR72" i="3"/>
  <c r="AT68" i="3"/>
  <c r="AS72" i="3"/>
  <c r="AP66" i="3"/>
  <c r="AQ66" i="3"/>
  <c r="AR66" i="3"/>
  <c r="AT62" i="3"/>
  <c r="AS66" i="3"/>
  <c r="AP60" i="3"/>
  <c r="AQ60" i="3"/>
  <c r="AR60" i="3"/>
  <c r="AT56" i="3"/>
  <c r="AS60" i="3"/>
  <c r="AU62" i="3" l="1"/>
  <c r="AU56" i="3"/>
  <c r="AU74" i="3"/>
  <c r="AU68" i="3"/>
  <c r="BG21" i="3"/>
  <c r="BN17" i="3" s="1"/>
  <c r="S89" i="3"/>
  <c r="AU59" i="3"/>
  <c r="AU58" i="3"/>
  <c r="AU57" i="3"/>
  <c r="AU65" i="3"/>
  <c r="AU64" i="3"/>
  <c r="AU63" i="3"/>
  <c r="AU71" i="3"/>
  <c r="AU70" i="3"/>
  <c r="AU69" i="3"/>
  <c r="AU77" i="3"/>
  <c r="AU76" i="3"/>
  <c r="AU75" i="3"/>
  <c r="S96" i="3" l="1"/>
  <c r="T96" i="3" s="1" a="1"/>
  <c r="T96" i="3" s="1"/>
  <c r="T89" i="3" a="1"/>
  <c r="T89" i="3" s="1"/>
  <c r="AU78" i="3"/>
  <c r="AV74" i="3" s="1"/>
  <c r="AU72" i="3"/>
  <c r="AV68" i="3" s="1"/>
  <c r="AV70" i="3"/>
  <c r="AV71" i="3"/>
  <c r="AU66" i="3"/>
  <c r="AV62" i="3" s="1"/>
  <c r="AU60" i="3"/>
  <c r="AV56" i="3" s="1"/>
  <c r="AV57" i="3" l="1"/>
  <c r="AV59" i="3"/>
  <c r="AV77" i="3"/>
  <c r="AV58" i="3"/>
  <c r="AV69" i="3"/>
  <c r="AV72" i="3" s="1"/>
  <c r="AW68" i="3" s="1"/>
  <c r="AL68" i="3" s="1"/>
  <c r="AV64" i="3"/>
  <c r="AV76" i="3"/>
  <c r="AV65" i="3"/>
  <c r="AV63" i="3"/>
  <c r="AV66" i="3" s="1"/>
  <c r="AW62" i="3" s="1"/>
  <c r="AL62" i="3" s="1"/>
  <c r="AV75" i="3"/>
  <c r="AV60" i="3" l="1"/>
  <c r="AW56" i="3" s="1"/>
  <c r="AL56" i="3" s="1"/>
  <c r="AV78" i="3"/>
  <c r="AW74" i="3" s="1"/>
  <c r="AL74" i="3" s="1"/>
  <c r="AW71" i="3"/>
  <c r="AL71" i="3" s="1"/>
  <c r="AW70" i="3"/>
  <c r="AL70" i="3" s="1"/>
  <c r="AW69" i="3"/>
  <c r="AL69" i="3" s="1"/>
  <c r="AW65" i="3"/>
  <c r="AL65" i="3" s="1"/>
  <c r="AW64" i="3"/>
  <c r="AL64" i="3" s="1"/>
  <c r="AW63" i="3"/>
  <c r="AL63" i="3" s="1"/>
  <c r="AW75" i="3" l="1"/>
  <c r="AL75" i="3" s="1"/>
  <c r="AW58" i="3"/>
  <c r="AL58" i="3" s="1"/>
  <c r="AW57" i="3"/>
  <c r="AL57" i="3" s="1"/>
  <c r="AW59" i="3"/>
  <c r="AL59" i="3" s="1"/>
  <c r="AW76" i="3"/>
  <c r="AL76" i="3" s="1"/>
  <c r="AL72" i="3"/>
  <c r="AN70" i="3" s="1"/>
  <c r="AW77" i="3"/>
  <c r="AL77" i="3" s="1"/>
  <c r="AL66" i="3"/>
  <c r="AN65" i="3" s="1"/>
  <c r="AL78" i="3" l="1"/>
  <c r="AN76" i="3" s="1"/>
  <c r="AN64" i="3"/>
  <c r="AL60" i="3"/>
  <c r="AN59" i="3" s="1"/>
  <c r="AN71" i="3"/>
  <c r="AN68" i="3"/>
  <c r="AN69" i="3"/>
  <c r="AA69" i="3" s="1"/>
  <c r="AN62" i="3"/>
  <c r="AN63" i="3"/>
  <c r="AA63" i="3" s="1"/>
  <c r="AN74" i="3" l="1"/>
  <c r="AA74" i="3" s="1"/>
  <c r="AN75" i="3"/>
  <c r="AN56" i="3"/>
  <c r="AN77" i="3"/>
  <c r="AN57" i="3"/>
  <c r="AN58" i="3"/>
  <c r="AA58" i="3" s="1"/>
  <c r="AA76" i="3"/>
  <c r="AA68" i="3"/>
  <c r="AA71" i="3"/>
  <c r="AA70" i="3"/>
  <c r="AA62" i="3"/>
  <c r="AA65" i="3"/>
  <c r="AA64" i="3"/>
  <c r="AA56" i="3"/>
  <c r="AA59" i="3"/>
  <c r="AA75" i="3" l="1"/>
  <c r="N76" i="3" s="1"/>
  <c r="AA77" i="3"/>
  <c r="AA57" i="3"/>
  <c r="L75" i="3"/>
  <c r="M75" i="3"/>
  <c r="N75" i="3"/>
  <c r="O75" i="3"/>
  <c r="J75" i="3"/>
  <c r="AZ54" i="3" s="1"/>
  <c r="L69" i="3"/>
  <c r="M69" i="3"/>
  <c r="N69" i="3"/>
  <c r="O69" i="3"/>
  <c r="L70" i="3"/>
  <c r="M70" i="3"/>
  <c r="N70" i="3"/>
  <c r="O70" i="3"/>
  <c r="L71" i="3"/>
  <c r="M71" i="3"/>
  <c r="N71" i="3"/>
  <c r="O71" i="3"/>
  <c r="L72" i="3"/>
  <c r="M72" i="3"/>
  <c r="N72" i="3"/>
  <c r="O72" i="3"/>
  <c r="J72" i="3"/>
  <c r="J71" i="3"/>
  <c r="AB90" i="3" s="1"/>
  <c r="AP90" i="3" s="1"/>
  <c r="J70" i="3"/>
  <c r="AZ26" i="3" s="1"/>
  <c r="J69" i="3"/>
  <c r="AZ70" i="3" s="1"/>
  <c r="L63" i="3"/>
  <c r="M63" i="3"/>
  <c r="N63" i="3"/>
  <c r="O63" i="3"/>
  <c r="L64" i="3"/>
  <c r="M64" i="3"/>
  <c r="N64" i="3"/>
  <c r="O64" i="3"/>
  <c r="L65" i="3"/>
  <c r="M65" i="3"/>
  <c r="N65" i="3"/>
  <c r="O65" i="3"/>
  <c r="L66" i="3"/>
  <c r="M66" i="3"/>
  <c r="N66" i="3"/>
  <c r="O66" i="3"/>
  <c r="J66" i="3"/>
  <c r="J65" i="3"/>
  <c r="AB89" i="3" s="1"/>
  <c r="AP89" i="3" s="1"/>
  <c r="J64" i="3"/>
  <c r="J63" i="3"/>
  <c r="AZ58" i="3" s="1"/>
  <c r="BG60" i="3" s="1"/>
  <c r="BN64" i="3" s="1"/>
  <c r="L57" i="3"/>
  <c r="M57" i="3"/>
  <c r="N57" i="3"/>
  <c r="O57" i="3"/>
  <c r="L58" i="3"/>
  <c r="M58" i="3"/>
  <c r="N58" i="3"/>
  <c r="O58" i="3"/>
  <c r="L59" i="3"/>
  <c r="M59" i="3"/>
  <c r="N59" i="3"/>
  <c r="O59" i="3"/>
  <c r="L60" i="3"/>
  <c r="M60" i="3"/>
  <c r="N60" i="3"/>
  <c r="O60" i="3"/>
  <c r="J60" i="3"/>
  <c r="J59" i="3"/>
  <c r="AB88" i="3" s="1"/>
  <c r="AP88" i="3" s="1"/>
  <c r="J58" i="3"/>
  <c r="AZ47" i="3" s="1"/>
  <c r="BG45" i="3" s="1"/>
  <c r="BN48" i="3" s="1"/>
  <c r="J57" i="3"/>
  <c r="AZ14" i="3" s="1"/>
  <c r="J78" i="3" l="1"/>
  <c r="M76" i="3"/>
  <c r="L76" i="3"/>
  <c r="N78" i="3"/>
  <c r="M78" i="3"/>
  <c r="L78" i="3"/>
  <c r="O78" i="3"/>
  <c r="O76" i="3"/>
  <c r="J76" i="3"/>
  <c r="AZ27" i="3" s="1"/>
  <c r="L77" i="3"/>
  <c r="O77" i="3"/>
  <c r="J77" i="3"/>
  <c r="AB91" i="3" s="1"/>
  <c r="AP91" i="3" s="1"/>
  <c r="M77" i="3"/>
  <c r="N77" i="3"/>
  <c r="BG28" i="3"/>
  <c r="S86" i="3"/>
  <c r="T86" i="3" s="1" a="1"/>
  <c r="T86" i="3" s="1"/>
  <c r="AE91" i="3"/>
  <c r="AG91" i="3"/>
  <c r="AI91" i="3"/>
  <c r="AM91" i="3"/>
  <c r="AE88" i="3"/>
  <c r="AF88" i="3"/>
  <c r="AG88" i="3"/>
  <c r="AI88" i="3"/>
  <c r="AK88" i="3"/>
  <c r="AM88" i="3"/>
  <c r="AE89" i="3"/>
  <c r="AF89" i="3"/>
  <c r="AG89" i="3"/>
  <c r="AI89" i="3"/>
  <c r="AK89" i="3"/>
  <c r="AM89" i="3"/>
  <c r="AE90" i="3"/>
  <c r="AF90" i="3"/>
  <c r="AG90" i="3"/>
  <c r="AI90" i="3"/>
  <c r="AK90" i="3"/>
  <c r="AM90" i="3"/>
  <c r="AC88" i="3"/>
  <c r="AD88" i="3"/>
  <c r="AC89" i="3"/>
  <c r="AD89" i="3"/>
  <c r="AC90" i="3"/>
  <c r="AD90" i="3"/>
  <c r="AC91" i="3"/>
  <c r="AD91" i="3"/>
  <c r="P78" i="3"/>
  <c r="K78" i="3"/>
  <c r="P77" i="3"/>
  <c r="K77" i="3"/>
  <c r="P76" i="3"/>
  <c r="K76" i="3"/>
  <c r="P75" i="3"/>
  <c r="K75" i="3"/>
  <c r="P72" i="3"/>
  <c r="K72" i="3"/>
  <c r="P71" i="3"/>
  <c r="K71" i="3"/>
  <c r="P70" i="3"/>
  <c r="K70" i="3"/>
  <c r="P69" i="3"/>
  <c r="K69" i="3"/>
  <c r="P66" i="3"/>
  <c r="K66" i="3"/>
  <c r="P65" i="3"/>
  <c r="K65" i="3"/>
  <c r="P64" i="3"/>
  <c r="K64" i="3"/>
  <c r="P63" i="3"/>
  <c r="K63" i="3"/>
  <c r="P60" i="3"/>
  <c r="K60" i="3"/>
  <c r="P59" i="3"/>
  <c r="K59" i="3"/>
  <c r="P58" i="3"/>
  <c r="K58" i="3"/>
  <c r="P57" i="3"/>
  <c r="K57" i="3"/>
  <c r="AK91" i="3" l="1"/>
  <c r="AK92" i="3" s="1"/>
  <c r="AF91" i="3"/>
  <c r="AO92" i="3"/>
  <c r="AD92" i="3"/>
  <c r="AC92" i="3"/>
  <c r="AG92" i="3"/>
  <c r="AF92" i="3"/>
  <c r="AE92" i="3"/>
  <c r="BN32" i="3"/>
  <c r="S97" i="3"/>
  <c r="T97" i="3" s="1" a="1"/>
  <c r="T97" i="3" s="1"/>
  <c r="AI92" i="3"/>
  <c r="AJ80" i="3" l="1"/>
  <c r="AJ87" i="3"/>
  <c r="AJ86" i="3"/>
  <c r="AJ85" i="3"/>
  <c r="AJ84" i="3"/>
  <c r="AJ83" i="3"/>
  <c r="AJ82" i="3"/>
  <c r="AJ81" i="3"/>
  <c r="AJ90" i="3"/>
  <c r="AJ89" i="3"/>
  <c r="AJ88" i="3"/>
  <c r="AJ91" i="3"/>
  <c r="AJ92" i="3" l="1"/>
  <c r="AL91" i="3" l="1"/>
  <c r="AL88" i="3"/>
  <c r="AL89" i="3"/>
  <c r="AL90" i="3"/>
  <c r="AL81" i="3"/>
  <c r="AL82" i="3"/>
  <c r="AL83" i="3"/>
  <c r="AL84" i="3"/>
  <c r="AA84" i="3" s="1"/>
  <c r="AO84" i="3" s="1"/>
  <c r="AL85" i="3"/>
  <c r="AL86" i="3"/>
  <c r="AL87" i="3"/>
  <c r="AL80" i="3"/>
  <c r="AA83" i="3" l="1"/>
  <c r="AO83" i="3" s="1"/>
  <c r="AA80" i="3"/>
  <c r="AO80" i="3" s="1"/>
  <c r="AA88" i="3"/>
  <c r="AO88" i="3" s="1"/>
  <c r="J88" i="3"/>
  <c r="AA81" i="3"/>
  <c r="AO81" i="3" s="1"/>
  <c r="AA82" i="3"/>
  <c r="AO82" i="3" s="1"/>
  <c r="AA86" i="3"/>
  <c r="AO86" i="3" s="1"/>
  <c r="AA90" i="3"/>
  <c r="AO90" i="3" s="1"/>
  <c r="AA89" i="3"/>
  <c r="AO89" i="3" s="1"/>
  <c r="AA91" i="3"/>
  <c r="AO91" i="3" s="1"/>
  <c r="AA85" i="3"/>
  <c r="AO85" i="3" s="1"/>
  <c r="AA87" i="3"/>
  <c r="AO87" i="3" s="1"/>
  <c r="AN80" i="3"/>
  <c r="AN81" i="3" s="1"/>
  <c r="J91" i="3" l="1"/>
  <c r="AN82" i="3"/>
  <c r="AN83" i="3" s="1"/>
  <c r="AN84" i="3" s="1"/>
  <c r="AN85" i="3" s="1"/>
  <c r="AN86" i="3" s="1"/>
  <c r="J92" i="3"/>
  <c r="J81" i="3"/>
  <c r="J85" i="3"/>
  <c r="J82" i="3"/>
  <c r="J83" i="3"/>
  <c r="J86" i="3"/>
  <c r="J90" i="3"/>
  <c r="J87" i="3"/>
  <c r="J84" i="3"/>
  <c r="J89" i="3"/>
  <c r="M92" i="3"/>
  <c r="N92" i="3"/>
  <c r="L92" i="3"/>
  <c r="P92" i="3" s="1"/>
  <c r="O92" i="3"/>
  <c r="L88" i="3"/>
  <c r="M85" i="3"/>
  <c r="N82" i="3"/>
  <c r="N90" i="3"/>
  <c r="O85" i="3"/>
  <c r="L87" i="3"/>
  <c r="M84" i="3"/>
  <c r="N89" i="3"/>
  <c r="O88" i="3"/>
  <c r="L82" i="3"/>
  <c r="M87" i="3"/>
  <c r="O90" i="3"/>
  <c r="L84" i="3"/>
  <c r="M89" i="3"/>
  <c r="N86" i="3"/>
  <c r="O82" i="3"/>
  <c r="O89" i="3"/>
  <c r="L90" i="3"/>
  <c r="N84" i="3"/>
  <c r="O87" i="3"/>
  <c r="L81" i="3"/>
  <c r="L89" i="3"/>
  <c r="M86" i="3"/>
  <c r="N83" i="3"/>
  <c r="K83" i="3" s="1"/>
  <c r="N91" i="3"/>
  <c r="N81" i="3"/>
  <c r="L83" i="3"/>
  <c r="L91" i="3"/>
  <c r="M88" i="3"/>
  <c r="N85" i="3"/>
  <c r="O84" i="3"/>
  <c r="M81" i="3"/>
  <c r="L86" i="3"/>
  <c r="K86" i="3" s="1"/>
  <c r="M83" i="3"/>
  <c r="M91" i="3"/>
  <c r="N88" i="3"/>
  <c r="O83" i="3"/>
  <c r="O91" i="3"/>
  <c r="O81" i="3"/>
  <c r="L85" i="3"/>
  <c r="P85" i="3" s="1"/>
  <c r="M82" i="3"/>
  <c r="K82" i="3" s="1"/>
  <c r="M90" i="3"/>
  <c r="N87" i="3"/>
  <c r="O86" i="3"/>
  <c r="AN87" i="3"/>
  <c r="AN88" i="3" s="1"/>
  <c r="AN89" i="3" s="1"/>
  <c r="AN90" i="3" s="1"/>
  <c r="AN91" i="3" s="1"/>
  <c r="C3" i="4" s="1"/>
  <c r="BN65" i="3"/>
  <c r="BU56" i="3" s="1"/>
  <c r="CB38" i="3"/>
  <c r="CB49" i="3"/>
  <c r="S91" i="3"/>
  <c r="T91" i="3" s="1" a="1"/>
  <c r="T91" i="3" s="1"/>
  <c r="BG37" i="3"/>
  <c r="S90" i="3"/>
  <c r="T90" i="3" s="1" a="1"/>
  <c r="T90" i="3" s="1"/>
  <c r="BG36" i="3"/>
  <c r="S85" i="3"/>
  <c r="T85" i="3" s="1" a="1"/>
  <c r="T85" i="3" s="1"/>
  <c r="BG13" i="3"/>
  <c r="S84" i="3"/>
  <c r="T84" i="3" s="1" a="1"/>
  <c r="T84" i="3" s="1"/>
  <c r="BG12" i="3"/>
  <c r="K90" i="3"/>
  <c r="P90" i="3"/>
  <c r="P87" i="3"/>
  <c r="P83" i="3"/>
  <c r="P81" i="3" l="1"/>
  <c r="K91" i="3"/>
  <c r="K92" i="3"/>
  <c r="P91" i="3"/>
  <c r="K89" i="3"/>
  <c r="K84" i="3"/>
  <c r="K81" i="3"/>
  <c r="K85" i="3"/>
  <c r="P86" i="3"/>
  <c r="K87" i="3"/>
  <c r="K88" i="3"/>
  <c r="P82" i="3"/>
  <c r="P84" i="3"/>
  <c r="B3" i="4"/>
  <c r="I3" i="4"/>
  <c r="AZ15" i="3" s="1"/>
  <c r="H3" i="4"/>
  <c r="AZ39" i="3" s="1"/>
  <c r="G3" i="4"/>
  <c r="AZ11" i="3" s="1"/>
  <c r="E3" i="4"/>
  <c r="AZ67" i="3" s="1"/>
  <c r="BG68" i="3" s="1"/>
  <c r="F3" i="4"/>
  <c r="AZ35" i="3" s="1"/>
  <c r="D3" i="4"/>
  <c r="AZ51" i="3" s="1"/>
  <c r="BG52" i="3" s="1"/>
  <c r="BN49" i="3" s="1"/>
  <c r="BU55" i="3" s="1"/>
  <c r="K3" i="4"/>
  <c r="AZ55" i="3" s="1"/>
  <c r="BG53" i="3" s="1"/>
  <c r="J3" i="4"/>
  <c r="AZ71" i="3" s="1"/>
  <c r="BG69" i="3" s="1"/>
  <c r="P88" i="3"/>
  <c r="P89" i="3"/>
  <c r="BN33" i="3"/>
  <c r="S98" i="3"/>
  <c r="T98" i="3" s="1" a="1"/>
  <c r="T98" i="3" s="1"/>
  <c r="BN16" i="3"/>
  <c r="S95" i="3"/>
  <c r="T95" i="3" s="1" a="1"/>
  <c r="T95" i="3" s="1"/>
  <c r="U103" i="3" l="1"/>
  <c r="Z103" i="3" s="1" a="1"/>
  <c r="Z103" i="3" s="1"/>
  <c r="S103" i="3"/>
  <c r="T103" i="3" s="1" a="1"/>
  <c r="T103" i="3" s="1"/>
  <c r="BU24" i="3"/>
  <c r="U102" i="3"/>
  <c r="BU23" i="3"/>
  <c r="CB37" i="3" s="1"/>
  <c r="S102" i="3"/>
  <c r="S111" i="3" l="1"/>
  <c r="T111" i="3" s="1"/>
  <c r="T102" i="3" a="1"/>
  <c r="T102" i="3" s="1"/>
  <c r="T107" i="3"/>
  <c r="Z102" i="3" a="1"/>
  <c r="Z102" i="3" s="1"/>
  <c r="CB4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<sst xmlns="http://schemas.openxmlformats.org/spreadsheetml/2006/main" count="9773" uniqueCount="3695">
  <si>
    <t>English</t>
  </si>
  <si>
    <t>Albanian</t>
  </si>
  <si>
    <t>Arabic</t>
  </si>
  <si>
    <t>Armenian</t>
  </si>
  <si>
    <t>Azerbaijan</t>
  </si>
  <si>
    <t>Bulgarian</t>
  </si>
  <si>
    <t>Català</t>
  </si>
  <si>
    <t>Chinese (Simplified)</t>
  </si>
  <si>
    <t>Chinese (Traditional)</t>
  </si>
  <si>
    <t>Croatian</t>
  </si>
  <si>
    <t>Czech</t>
  </si>
  <si>
    <t>Danish</t>
  </si>
  <si>
    <t>Dutch</t>
  </si>
  <si>
    <t>Faroese</t>
  </si>
  <si>
    <t>French</t>
  </si>
  <si>
    <t>Georgian</t>
  </si>
  <si>
    <t>German</t>
  </si>
  <si>
    <t>Greek</t>
  </si>
  <si>
    <t>Hebrew</t>
  </si>
  <si>
    <t>Hungarian</t>
  </si>
  <si>
    <t>Indonesia</t>
  </si>
  <si>
    <t>Icelandic</t>
  </si>
  <si>
    <t>Italian</t>
  </si>
  <si>
    <t>Korean</t>
  </si>
  <si>
    <t>Lithuanian</t>
  </si>
  <si>
    <t>Macedonian</t>
  </si>
  <si>
    <t>Maltese</t>
  </si>
  <si>
    <t>Norwegian</t>
  </si>
  <si>
    <t>Persian</t>
  </si>
  <si>
    <t>Polish</t>
  </si>
  <si>
    <t>Portuguese</t>
  </si>
  <si>
    <t>Romanian</t>
  </si>
  <si>
    <t>Serbian</t>
  </si>
  <si>
    <t>Slovak</t>
  </si>
  <si>
    <t>Slovenian</t>
  </si>
  <si>
    <t>Spanish</t>
  </si>
  <si>
    <t>Swedish</t>
  </si>
  <si>
    <t>Thai</t>
  </si>
  <si>
    <t>Turkish</t>
  </si>
  <si>
    <t>Vietnamese</t>
  </si>
  <si>
    <t>Ukrainian</t>
  </si>
  <si>
    <t>Urdu</t>
  </si>
  <si>
    <t>2026 World Cup Final Tournament Schedule</t>
  </si>
  <si>
    <t>Kupa Botërore 2026</t>
  </si>
  <si>
    <t>جدول مباريات كأس العالم 2026</t>
  </si>
  <si>
    <t xml:space="preserve">Աշխարհի 2026թ. առաջնություն </t>
  </si>
  <si>
    <t>2026 - cu il Dünya Çempionatinin Final Mərhələsinin Cədvəli</t>
  </si>
  <si>
    <t>График на срещите - Световно първенство 2026</t>
  </si>
  <si>
    <t>Calendari de la Fase Final de la Copa del Món de futbol 2026</t>
  </si>
  <si>
    <t>巴西2026年世界杯</t>
  </si>
  <si>
    <t>2026 世界盃賽程</t>
  </si>
  <si>
    <t>Svjetsko prvenstvo 2026 raspored utakmica</t>
  </si>
  <si>
    <t>Mistrovství světa ve fotbale 2026</t>
  </si>
  <si>
    <t>2026 Verdensmesterskabs Oversigt</t>
  </si>
  <si>
    <t>Wereldkampioenschap 2026 Toernooischema</t>
  </si>
  <si>
    <t>2026 Heimsmeistarakappingaryvirlit</t>
  </si>
  <si>
    <t>Coupe du Monde de la FIFA 2026 - Calendrier des matchs</t>
  </si>
  <si>
    <t>მსოფლიო ჩემპიონატი ფეხბურთში - სამხრეთ აფრიკა 2026</t>
  </si>
  <si>
    <t>Spielplan Weltmeisterschafts endrunde 2026</t>
  </si>
  <si>
    <t>Πρόγραμμα Τελικών Παγκοσμίου Κυπέλλου 2026</t>
  </si>
  <si>
    <t>2026 גביע העולם טורניר הגמר תזמן</t>
  </si>
  <si>
    <t>2026 Labdarúgó-világbajnokság döntő sorozata</t>
  </si>
  <si>
    <t>Jadwal Turnamen Final Piala Dunia 2026</t>
  </si>
  <si>
    <t>HM 2026 lokakeppnin</t>
  </si>
  <si>
    <t>Calendario Coppa del mondo 2026</t>
  </si>
  <si>
    <t>2026 월드컵 최종 토너먼트 일정</t>
  </si>
  <si>
    <t>2026 Pasaulio Futbolo Čempionato Tvarkaraštis</t>
  </si>
  <si>
    <t>Светско првенство 2026 - Распоред на натпревари</t>
  </si>
  <si>
    <t>Skeda tat-Tazza tad-Dinja 2026</t>
  </si>
  <si>
    <t>Verdensmesterskapet i fotball 2026</t>
  </si>
  <si>
    <t>جدول مسابقات فینال جام جهانی 2026</t>
  </si>
  <si>
    <t>2026 Mistrzostwa Świata Terminarz Meczów</t>
  </si>
  <si>
    <t>Calendário Fase Final Mundial 2026</t>
  </si>
  <si>
    <t>Programul Turneului Final FIFA World Cup 2026</t>
  </si>
  <si>
    <t>Svetsko prvenstvo u fudbalu 2026 - Raspored utakmica</t>
  </si>
  <si>
    <t>Majstrovstvá sveta vo futbale 2026</t>
  </si>
  <si>
    <t>Svetovno prvenstvo 2026 razpored tekem</t>
  </si>
  <si>
    <t>Copa Mundial de Fútbol - Brasil 2026</t>
  </si>
  <si>
    <t>Schema för VM-slutspelet 2026</t>
  </si>
  <si>
    <t>ตารางการแข่งขันฟุตบอลโลก 2026</t>
  </si>
  <si>
    <t>2026 Dünya Kupası Finalleri Turnuva Fikstürü</t>
  </si>
  <si>
    <t>Lịch Thi Đấu Cúp Bóng Đá Thế Giới 2026</t>
  </si>
  <si>
    <t>Календар Чемпіонату Світу 2026</t>
  </si>
  <si>
    <t>۲۰۱۰ فٹبال عالمی کپ ٹورنمنٹ کا خاکہ</t>
  </si>
  <si>
    <t>Group Stage</t>
  </si>
  <si>
    <t>Grupet</t>
  </si>
  <si>
    <t>الدور الأول</t>
  </si>
  <si>
    <t>Խմբային փուլ</t>
  </si>
  <si>
    <t>Qrup Mərhələsi</t>
  </si>
  <si>
    <t>Групова фаза</t>
  </si>
  <si>
    <t>Fase de grups</t>
  </si>
  <si>
    <t>小组赛阶段</t>
  </si>
  <si>
    <t>分組賽</t>
  </si>
  <si>
    <t>Prvi krug</t>
  </si>
  <si>
    <t>Základní skupiny</t>
  </si>
  <si>
    <t>Gruppespil</t>
  </si>
  <si>
    <t>Groepsfase</t>
  </si>
  <si>
    <t>Bólkaspæl</t>
  </si>
  <si>
    <t>Phase de groupes</t>
  </si>
  <si>
    <t>ჯგუფური ეტაპი</t>
  </si>
  <si>
    <t>Gruppenphase</t>
  </si>
  <si>
    <t>Φάση Ομίλων</t>
  </si>
  <si>
    <t>שלב הבתים</t>
  </si>
  <si>
    <t>Csoportkörök</t>
  </si>
  <si>
    <t>Babak Kualifikasi</t>
  </si>
  <si>
    <t>Riðlakeppnin</t>
  </si>
  <si>
    <t>Fase a gironi</t>
  </si>
  <si>
    <t>조별 리그</t>
  </si>
  <si>
    <t>Grupės Etapas</t>
  </si>
  <si>
    <t>Фаза по групи</t>
  </si>
  <si>
    <t>Fażi tal-Gruppi</t>
  </si>
  <si>
    <t>Gruppespill</t>
  </si>
  <si>
    <t>مرحله گروهی</t>
  </si>
  <si>
    <t>Faza Grupowa</t>
  </si>
  <si>
    <t>Fase de grupos</t>
  </si>
  <si>
    <t>Faza Grupelor</t>
  </si>
  <si>
    <t>Grupno takmičenje</t>
  </si>
  <si>
    <t>Skupinová fáza</t>
  </si>
  <si>
    <t>Skupinski del</t>
  </si>
  <si>
    <t>Gruppspel</t>
  </si>
  <si>
    <t>รอบแรก</t>
  </si>
  <si>
    <t>Grup Aşaması</t>
  </si>
  <si>
    <t>Vòng Bảng</t>
  </si>
  <si>
    <t>Груповий етап</t>
  </si>
  <si>
    <t>گروپ بندی</t>
  </si>
  <si>
    <t>Round of 16</t>
  </si>
  <si>
    <t>Rundi I 16</t>
  </si>
  <si>
    <t>دور الستة عشر</t>
  </si>
  <si>
    <t>1/8 Եզրափակիչ</t>
  </si>
  <si>
    <t>16-da bir raund</t>
  </si>
  <si>
    <t>1/8 - финали</t>
  </si>
  <si>
    <t>Vuitens de final</t>
  </si>
  <si>
    <t>16强赛</t>
  </si>
  <si>
    <t>十六強</t>
  </si>
  <si>
    <t>Drugi krug</t>
  </si>
  <si>
    <t>Osmifinále</t>
  </si>
  <si>
    <t>Runde af 16</t>
  </si>
  <si>
    <t>Achtste finales</t>
  </si>
  <si>
    <t>Áttandapartsfinala</t>
  </si>
  <si>
    <t>Huitièmes de finale</t>
  </si>
  <si>
    <t>მერვედფინალი</t>
  </si>
  <si>
    <t>Achtelfinale</t>
  </si>
  <si>
    <t>Φάση των 16</t>
  </si>
  <si>
    <t>שמינית גמר</t>
  </si>
  <si>
    <t>Nyolcaddöntők</t>
  </si>
  <si>
    <t>Per Delapan Final</t>
  </si>
  <si>
    <t>16 liða úrslit</t>
  </si>
  <si>
    <t>Ottavi di finale</t>
  </si>
  <si>
    <t>16강전</t>
  </si>
  <si>
    <t>16-tuko Raundas</t>
  </si>
  <si>
    <t>1/8 финале</t>
  </si>
  <si>
    <t>L-Aħħar Sittax</t>
  </si>
  <si>
    <t>8-dels finale</t>
  </si>
  <si>
    <t xml:space="preserve"> یک هشتم نهائی</t>
  </si>
  <si>
    <t>1/8 Finału</t>
  </si>
  <si>
    <t>Oitavos de Final</t>
  </si>
  <si>
    <t>Optimi</t>
  </si>
  <si>
    <t>Šesnaestina finala</t>
  </si>
  <si>
    <t>Osemfinále</t>
  </si>
  <si>
    <t>Osminafinala</t>
  </si>
  <si>
    <t>Octavos de final</t>
  </si>
  <si>
    <t>Åttondelsfinal</t>
  </si>
  <si>
    <t>รอบสอง</t>
  </si>
  <si>
    <t>Son 16</t>
  </si>
  <si>
    <t>Vòng 1/16</t>
  </si>
  <si>
    <t>1/8 фіналу</t>
  </si>
  <si>
    <t>سولھواں دور</t>
  </si>
  <si>
    <t>Quarterfinals</t>
  </si>
  <si>
    <t>Qerekfinalja</t>
  </si>
  <si>
    <t>دور الربع نهائي</t>
  </si>
  <si>
    <t>1/4 Եզրափակիչ</t>
  </si>
  <si>
    <t>Dörddə bir Final</t>
  </si>
  <si>
    <t>1/4 - финали</t>
  </si>
  <si>
    <t>Quarts de final</t>
  </si>
  <si>
    <t>8强赛</t>
  </si>
  <si>
    <t>八強</t>
  </si>
  <si>
    <t>Četvrtfinale</t>
  </si>
  <si>
    <t>Čtvrtfinále</t>
  </si>
  <si>
    <t>Kvartfinale</t>
  </si>
  <si>
    <t>Kwartfinales</t>
  </si>
  <si>
    <t>Fjórðingsfinala</t>
  </si>
  <si>
    <t>Quart de Finale</t>
  </si>
  <si>
    <t>მეოთხედფინალი</t>
  </si>
  <si>
    <t>Viertelfinale</t>
  </si>
  <si>
    <t>Προημιτελικοί</t>
  </si>
  <si>
    <t>רבע גמר</t>
  </si>
  <si>
    <t>Negyeddöntők</t>
  </si>
  <si>
    <t>Perempat Final</t>
  </si>
  <si>
    <t>8 liða úrslit</t>
  </si>
  <si>
    <t>Quarti di finale</t>
  </si>
  <si>
    <t>8강전</t>
  </si>
  <si>
    <t>Ketvirtfinaliai</t>
  </si>
  <si>
    <t>1/4 финале</t>
  </si>
  <si>
    <t>Kwarti-Finali</t>
  </si>
  <si>
    <t>یک چهارم نهائی</t>
  </si>
  <si>
    <t>Ćwierćfinały</t>
  </si>
  <si>
    <t>Quartos de Final</t>
  </si>
  <si>
    <t>Sferturi de finala</t>
  </si>
  <si>
    <t>Štvrťfinále</t>
  </si>
  <si>
    <t>Četrtfinale</t>
  </si>
  <si>
    <t>Cuartos de Final</t>
  </si>
  <si>
    <t>Kvartsfinal</t>
  </si>
  <si>
    <t>รอบก่อนรองชนะเลิศ</t>
  </si>
  <si>
    <t>Çeyrek Final</t>
  </si>
  <si>
    <t>Tứ kết</t>
  </si>
  <si>
    <t>Чвертьфінал</t>
  </si>
  <si>
    <t>کواٹر فائنل</t>
  </si>
  <si>
    <t>Semi-Finals</t>
  </si>
  <si>
    <t>Gjysmëfinalja</t>
  </si>
  <si>
    <t>دور النصف نهائي</t>
  </si>
  <si>
    <t>Կիսաեզրափակիչ</t>
  </si>
  <si>
    <t>Yarım Final</t>
  </si>
  <si>
    <t>1/2 - финали</t>
  </si>
  <si>
    <t>Semifinals</t>
  </si>
  <si>
    <t>半决赛</t>
  </si>
  <si>
    <t>準決賽</t>
  </si>
  <si>
    <t>Polufinale</t>
  </si>
  <si>
    <t>Semifinále</t>
  </si>
  <si>
    <t>Semifinale</t>
  </si>
  <si>
    <t>Halve finales</t>
  </si>
  <si>
    <t>Hálvfinala</t>
  </si>
  <si>
    <t>Demi-Finale</t>
  </si>
  <si>
    <t>ნახევარფინალი</t>
  </si>
  <si>
    <t>Halbfinale</t>
  </si>
  <si>
    <t>Ημιτελικοί</t>
  </si>
  <si>
    <t>חצי גמר</t>
  </si>
  <si>
    <t>Elődöntők</t>
  </si>
  <si>
    <t>Semi Final</t>
  </si>
  <si>
    <t>Undanúrslit</t>
  </si>
  <si>
    <t>Semifinali</t>
  </si>
  <si>
    <t>준결승전</t>
  </si>
  <si>
    <t>Pusfinaliai</t>
  </si>
  <si>
    <t>1/2 финале</t>
  </si>
  <si>
    <t>Semi-Finali</t>
  </si>
  <si>
    <t>نیمه نهائی</t>
  </si>
  <si>
    <t>Półfinały</t>
  </si>
  <si>
    <t>Semi-final</t>
  </si>
  <si>
    <t>Polfinale</t>
  </si>
  <si>
    <t>Semifinales</t>
  </si>
  <si>
    <t>Semifinal</t>
  </si>
  <si>
    <t>รอบรองชนะเลิศ</t>
  </si>
  <si>
    <t>Yarı Final</t>
  </si>
  <si>
    <t>Bán kết</t>
  </si>
  <si>
    <t>Півфінал</t>
  </si>
  <si>
    <t>سیمی فائنل</t>
  </si>
  <si>
    <t>Third-Place Play-Off</t>
  </si>
  <si>
    <t>Takimi për vendin e tretë</t>
  </si>
  <si>
    <t>تحديد المركزين الثالث والرابع</t>
  </si>
  <si>
    <t>3-րդ տեղի համար եզրափակիչ</t>
  </si>
  <si>
    <t>Üçüncü Yer Uğrunda</t>
  </si>
  <si>
    <t>Мач за трето място</t>
  </si>
  <si>
    <t>3r i 4t lloc</t>
  </si>
  <si>
    <t>季军赛</t>
  </si>
  <si>
    <t>季軍賽</t>
  </si>
  <si>
    <t>Za treće mjesto</t>
  </si>
  <si>
    <t>Zápas o 3.místo</t>
  </si>
  <si>
    <t>Tredjeplads Kamp</t>
  </si>
  <si>
    <t>Derde en vierde plaats</t>
  </si>
  <si>
    <t>Dystur um 3. pláss</t>
  </si>
  <si>
    <t>Match pour la troisième place</t>
  </si>
  <si>
    <t>მესამე ადგილი</t>
  </si>
  <si>
    <t>Spiel um den dritten Platz</t>
  </si>
  <si>
    <t>Μικρός Τελικός</t>
  </si>
  <si>
    <t>מקום 3-4</t>
  </si>
  <si>
    <t>Bronzmeccs</t>
  </si>
  <si>
    <t>Perebutan Tempat Ketiga</t>
  </si>
  <si>
    <t>Leikur um 3.sæti</t>
  </si>
  <si>
    <t>Finale 3°- 4° posto</t>
  </si>
  <si>
    <t>3,4위전</t>
  </si>
  <si>
    <t>Rungtynės dėl Trečios Vietos</t>
  </si>
  <si>
    <t>Натпревар за трето место</t>
  </si>
  <si>
    <t>Final għat-Tielet u r-Raba' Post</t>
  </si>
  <si>
    <t>Bronsefinale</t>
  </si>
  <si>
    <t>رده بندی</t>
  </si>
  <si>
    <t>Mecz o trzecie miejsce</t>
  </si>
  <si>
    <t>3º/4º lugar</t>
  </si>
  <si>
    <t>Finala mica</t>
  </si>
  <si>
    <t xml:space="preserve">Zápas o 3. miesto </t>
  </si>
  <si>
    <t>Za tretje mesto</t>
  </si>
  <si>
    <t>Tercer puesto</t>
  </si>
  <si>
    <t>Match om tredje pris</t>
  </si>
  <si>
    <t>รอบชิงที่ 3</t>
  </si>
  <si>
    <t>Üçüncülük Maçı</t>
  </si>
  <si>
    <t>Tranh hạng 3</t>
  </si>
  <si>
    <t>Матч за третє місце</t>
  </si>
  <si>
    <t>تیسرے مقام کے لئے کھیل</t>
  </si>
  <si>
    <t>Final</t>
  </si>
  <si>
    <t>Finalja</t>
  </si>
  <si>
    <t>المباراة النهائية</t>
  </si>
  <si>
    <t>Եզրափակիչ</t>
  </si>
  <si>
    <t>Финал</t>
  </si>
  <si>
    <t>总决赛</t>
  </si>
  <si>
    <t>總決賽</t>
  </si>
  <si>
    <t>Finale</t>
  </si>
  <si>
    <t>Finále</t>
  </si>
  <si>
    <t>Finala</t>
  </si>
  <si>
    <t>ფინალი</t>
  </si>
  <si>
    <t>Τελικός</t>
  </si>
  <si>
    <t>גמר</t>
  </si>
  <si>
    <t>Döntő</t>
  </si>
  <si>
    <t>Úrslit</t>
  </si>
  <si>
    <t>결승전</t>
  </si>
  <si>
    <t>Finalas</t>
  </si>
  <si>
    <t>Финале</t>
  </si>
  <si>
    <t>Finali</t>
  </si>
  <si>
    <t>فینال</t>
  </si>
  <si>
    <t>Finał</t>
  </si>
  <si>
    <t>FINALA</t>
  </si>
  <si>
    <t>รอบชิงชนะเลิศ</t>
  </si>
  <si>
    <t>Chung Kết</t>
  </si>
  <si>
    <t>Фінал</t>
  </si>
  <si>
    <t>فائنل</t>
  </si>
  <si>
    <t>Group</t>
  </si>
  <si>
    <t>Grupi</t>
  </si>
  <si>
    <t>المجموعة</t>
  </si>
  <si>
    <t>Խումբ</t>
  </si>
  <si>
    <t>Qrup</t>
  </si>
  <si>
    <t>Група</t>
  </si>
  <si>
    <t>Grup</t>
  </si>
  <si>
    <t>小组</t>
  </si>
  <si>
    <t>小組</t>
  </si>
  <si>
    <t>Grupa</t>
  </si>
  <si>
    <t>Skupina</t>
  </si>
  <si>
    <t>Gruppe</t>
  </si>
  <si>
    <t>Groep</t>
  </si>
  <si>
    <t>Bólkur</t>
  </si>
  <si>
    <t>Groupe</t>
  </si>
  <si>
    <t>ჯგუფი</t>
  </si>
  <si>
    <t>Όμιλος</t>
  </si>
  <si>
    <t>בית</t>
  </si>
  <si>
    <t>Csoport</t>
  </si>
  <si>
    <t>Kelompok</t>
  </si>
  <si>
    <t>Riðill</t>
  </si>
  <si>
    <t>Gruppo</t>
  </si>
  <si>
    <t>그룹</t>
  </si>
  <si>
    <t>Grupė</t>
  </si>
  <si>
    <t>Grupp</t>
  </si>
  <si>
    <t>گروه</t>
  </si>
  <si>
    <t>Grupo</t>
  </si>
  <si>
    <t>สาย</t>
  </si>
  <si>
    <t>Bảng</t>
  </si>
  <si>
    <t>PL</t>
  </si>
  <si>
    <t>L</t>
  </si>
  <si>
    <t>لعب</t>
  </si>
  <si>
    <t>Խ</t>
  </si>
  <si>
    <t>O</t>
  </si>
  <si>
    <t>М</t>
  </si>
  <si>
    <t>J</t>
  </si>
  <si>
    <t>场次</t>
  </si>
  <si>
    <t>賽</t>
  </si>
  <si>
    <t>Z</t>
  </si>
  <si>
    <t>SP</t>
  </si>
  <si>
    <t>WG</t>
  </si>
  <si>
    <t>თ</t>
  </si>
  <si>
    <t>ΑΓ</t>
  </si>
  <si>
    <t>משחקים</t>
  </si>
  <si>
    <t>M</t>
  </si>
  <si>
    <t>Main</t>
  </si>
  <si>
    <t>G</t>
  </si>
  <si>
    <t>경기</t>
  </si>
  <si>
    <t>Žst</t>
  </si>
  <si>
    <t>О</t>
  </si>
  <si>
    <t>S</t>
  </si>
  <si>
    <t>بازی</t>
  </si>
  <si>
    <t>UT</t>
  </si>
  <si>
    <t>Sp</t>
  </si>
  <si>
    <t>แข่ง</t>
  </si>
  <si>
    <t>Trận</t>
  </si>
  <si>
    <t>І</t>
  </si>
  <si>
    <t>کھیلے گئے مقابلے</t>
  </si>
  <si>
    <t>W</t>
  </si>
  <si>
    <t>F</t>
  </si>
  <si>
    <t>فاز</t>
  </si>
  <si>
    <t>Հ</t>
  </si>
  <si>
    <t>Q</t>
  </si>
  <si>
    <t>П</t>
  </si>
  <si>
    <t>胜</t>
  </si>
  <si>
    <t>勝</t>
  </si>
  <si>
    <t>V</t>
  </si>
  <si>
    <t>მოგ</t>
  </si>
  <si>
    <t>Ν</t>
  </si>
  <si>
    <t>נצחונות</t>
  </si>
  <si>
    <t>GY</t>
  </si>
  <si>
    <t>Menang</t>
  </si>
  <si>
    <t>U</t>
  </si>
  <si>
    <t>승</t>
  </si>
  <si>
    <t>R</t>
  </si>
  <si>
    <t>برد</t>
  </si>
  <si>
    <t>P</t>
  </si>
  <si>
    <t>ชนะ</t>
  </si>
  <si>
    <t>T</t>
  </si>
  <si>
    <t>В</t>
  </si>
  <si>
    <t>جیت</t>
  </si>
  <si>
    <t>DRAW</t>
  </si>
  <si>
    <t>BAR</t>
  </si>
  <si>
    <t>تعادل</t>
  </si>
  <si>
    <t>Ո</t>
  </si>
  <si>
    <t>H</t>
  </si>
  <si>
    <t>Р</t>
  </si>
  <si>
    <t>E</t>
  </si>
  <si>
    <t>平</t>
  </si>
  <si>
    <t>和</t>
  </si>
  <si>
    <t>Uafgjort</t>
  </si>
  <si>
    <t>ფრე</t>
  </si>
  <si>
    <t>Ι</t>
  </si>
  <si>
    <t>תיקו</t>
  </si>
  <si>
    <t>D</t>
  </si>
  <si>
    <t>Seri</t>
  </si>
  <si>
    <t>Jafnt</t>
  </si>
  <si>
    <t>무</t>
  </si>
  <si>
    <t>Lyg</t>
  </si>
  <si>
    <t>Н</t>
  </si>
  <si>
    <t>I</t>
  </si>
  <si>
    <t>مساوی</t>
  </si>
  <si>
    <t>NER.</t>
  </si>
  <si>
    <t>เสมอ</t>
  </si>
  <si>
    <t>B</t>
  </si>
  <si>
    <t>برابر</t>
  </si>
  <si>
    <t>خسر</t>
  </si>
  <si>
    <t>Պ</t>
  </si>
  <si>
    <t>З</t>
  </si>
  <si>
    <t>负</t>
  </si>
  <si>
    <t>負</t>
  </si>
  <si>
    <t>წაგ</t>
  </si>
  <si>
    <t>N</t>
  </si>
  <si>
    <t xml:space="preserve">Η </t>
  </si>
  <si>
    <t>הפסדים</t>
  </si>
  <si>
    <t>Kalah</t>
  </si>
  <si>
    <t>패</t>
  </si>
  <si>
    <t>И</t>
  </si>
  <si>
    <t>باخت</t>
  </si>
  <si>
    <t>แพ้</t>
  </si>
  <si>
    <t>ہارے گئے مقابلے</t>
  </si>
  <si>
    <t>GF - GA</t>
  </si>
  <si>
    <t>GSH-GP</t>
  </si>
  <si>
    <t>عليه - له</t>
  </si>
  <si>
    <t>ԽԳ-ԲԳ</t>
  </si>
  <si>
    <t>QV - QB</t>
  </si>
  <si>
    <t>Гол. Разл.</t>
  </si>
  <si>
    <t>GF - GC</t>
  </si>
  <si>
    <t>得失球</t>
  </si>
  <si>
    <t>得球 - 失球</t>
  </si>
  <si>
    <t>GV - GI</t>
  </si>
  <si>
    <t>MF - MI</t>
  </si>
  <si>
    <t>DV-DT</t>
  </si>
  <si>
    <t>BP - BC</t>
  </si>
  <si>
    <t>გგ - მგ</t>
  </si>
  <si>
    <t>ET - KT</t>
  </si>
  <si>
    <t>Υ-Κ</t>
  </si>
  <si>
    <t>יחס שערים</t>
  </si>
  <si>
    <t>Gólkül.</t>
  </si>
  <si>
    <t xml:space="preserve">Skor </t>
  </si>
  <si>
    <t>S - F</t>
  </si>
  <si>
    <t>GF - GS</t>
  </si>
  <si>
    <t>골득실</t>
  </si>
  <si>
    <t>Įm - Pr</t>
  </si>
  <si>
    <t>Разлика</t>
  </si>
  <si>
    <t>GF - GK</t>
  </si>
  <si>
    <t>Mål</t>
  </si>
  <si>
    <t>خورده-زده</t>
  </si>
  <si>
    <t>Z - S</t>
  </si>
  <si>
    <t>GM - GS</t>
  </si>
  <si>
    <t>GM - GP</t>
  </si>
  <si>
    <t>GD - GP</t>
  </si>
  <si>
    <t>GS-GI</t>
  </si>
  <si>
    <t>GM – IM</t>
  </si>
  <si>
    <t>ได้ - เสีย</t>
  </si>
  <si>
    <t>A - Y</t>
  </si>
  <si>
    <t>Hiệu số</t>
  </si>
  <si>
    <t xml:space="preserve">М </t>
  </si>
  <si>
    <t>گول کئے- انکے خلاف گول کئے گئے</t>
  </si>
  <si>
    <t>PNT</t>
  </si>
  <si>
    <t>PIK</t>
  </si>
  <si>
    <t>النقاط</t>
  </si>
  <si>
    <t>Մ</t>
  </si>
  <si>
    <t>Xal</t>
  </si>
  <si>
    <t>Т</t>
  </si>
  <si>
    <t>Punts</t>
  </si>
  <si>
    <t>积分</t>
  </si>
  <si>
    <t>分數</t>
  </si>
  <si>
    <t>Body</t>
  </si>
  <si>
    <t>Stig</t>
  </si>
  <si>
    <t>PTS</t>
  </si>
  <si>
    <t>ქულა</t>
  </si>
  <si>
    <t>PKT</t>
  </si>
  <si>
    <t>ΒΘ</t>
  </si>
  <si>
    <t>נקודות</t>
  </si>
  <si>
    <t>Nilai</t>
  </si>
  <si>
    <t>Punti</t>
  </si>
  <si>
    <t>승점</t>
  </si>
  <si>
    <t>Tšk</t>
  </si>
  <si>
    <t>Б</t>
  </si>
  <si>
    <t>امتیاز</t>
  </si>
  <si>
    <t>Pkt</t>
  </si>
  <si>
    <t>BOD</t>
  </si>
  <si>
    <t>คะแนน</t>
  </si>
  <si>
    <t>Điểm</t>
  </si>
  <si>
    <t>نشان</t>
  </si>
  <si>
    <t>Sun</t>
  </si>
  <si>
    <t>Diel</t>
  </si>
  <si>
    <t>الأحد</t>
  </si>
  <si>
    <t>Կիր.</t>
  </si>
  <si>
    <t>Нед</t>
  </si>
  <si>
    <t>Diu</t>
  </si>
  <si>
    <t>周日</t>
  </si>
  <si>
    <t>Ned</t>
  </si>
  <si>
    <t>Ne</t>
  </si>
  <si>
    <t>Søn</t>
  </si>
  <si>
    <t>Zo</t>
  </si>
  <si>
    <t>კვირა</t>
  </si>
  <si>
    <t>Κυρ</t>
  </si>
  <si>
    <t>ראשון</t>
  </si>
  <si>
    <t>Vas</t>
  </si>
  <si>
    <t>Min</t>
  </si>
  <si>
    <t>Dom</t>
  </si>
  <si>
    <t>일</t>
  </si>
  <si>
    <t>Sekm</t>
  </si>
  <si>
    <t>Ħad</t>
  </si>
  <si>
    <t>یکشنبه</t>
  </si>
  <si>
    <t>Nd</t>
  </si>
  <si>
    <t>Dum</t>
  </si>
  <si>
    <t>Sön</t>
  </si>
  <si>
    <t>อาทิตย์</t>
  </si>
  <si>
    <t>Paz</t>
  </si>
  <si>
    <t>CN</t>
  </si>
  <si>
    <t>Нд</t>
  </si>
  <si>
    <t>اتوار</t>
  </si>
  <si>
    <t>Mon</t>
  </si>
  <si>
    <t>Hënë</t>
  </si>
  <si>
    <t>الاثنين</t>
  </si>
  <si>
    <t>Երկ.</t>
  </si>
  <si>
    <t>BE</t>
  </si>
  <si>
    <t>Пон</t>
  </si>
  <si>
    <t>Dil</t>
  </si>
  <si>
    <t>周一</t>
  </si>
  <si>
    <t>Pon</t>
  </si>
  <si>
    <t>Po</t>
  </si>
  <si>
    <t>Man</t>
  </si>
  <si>
    <t>Ma</t>
  </si>
  <si>
    <t>Mán</t>
  </si>
  <si>
    <t>ორშ</t>
  </si>
  <si>
    <t>Δευ</t>
  </si>
  <si>
    <t>שני</t>
  </si>
  <si>
    <t>Hét</t>
  </si>
  <si>
    <t>Sen</t>
  </si>
  <si>
    <t>Lun</t>
  </si>
  <si>
    <t>월</t>
  </si>
  <si>
    <t>Pirm</t>
  </si>
  <si>
    <t>Tne</t>
  </si>
  <si>
    <t>دوشنبه</t>
  </si>
  <si>
    <t>Pn</t>
  </si>
  <si>
    <t>Seg</t>
  </si>
  <si>
    <t>Mån</t>
  </si>
  <si>
    <t>จันทร์</t>
  </si>
  <si>
    <t>Pzt</t>
  </si>
  <si>
    <t>T2</t>
  </si>
  <si>
    <t>Пн</t>
  </si>
  <si>
    <t>پیر</t>
  </si>
  <si>
    <t>Tue</t>
  </si>
  <si>
    <t>Mar</t>
  </si>
  <si>
    <t>الثلاثاء</t>
  </si>
  <si>
    <t>Երեք.</t>
  </si>
  <si>
    <t>ÇA</t>
  </si>
  <si>
    <t>Вт</t>
  </si>
  <si>
    <t>Dim</t>
  </si>
  <si>
    <t>周二</t>
  </si>
  <si>
    <t>Uto</t>
  </si>
  <si>
    <t>Út</t>
  </si>
  <si>
    <t>Tir</t>
  </si>
  <si>
    <t>Di</t>
  </si>
  <si>
    <t>Týs</t>
  </si>
  <si>
    <t>სამშ</t>
  </si>
  <si>
    <t>Τρι</t>
  </si>
  <si>
    <t>שלישי</t>
  </si>
  <si>
    <t>Ke</t>
  </si>
  <si>
    <t>Sel</t>
  </si>
  <si>
    <t>Þri</t>
  </si>
  <si>
    <t>화</t>
  </si>
  <si>
    <t>Antr</t>
  </si>
  <si>
    <t>Вто</t>
  </si>
  <si>
    <t>Tli</t>
  </si>
  <si>
    <t>Tirs</t>
  </si>
  <si>
    <t>سه شنبه</t>
  </si>
  <si>
    <t>Wt</t>
  </si>
  <si>
    <t>Ter</t>
  </si>
  <si>
    <t>Ut</t>
  </si>
  <si>
    <t>Tor</t>
  </si>
  <si>
    <t>Tis</t>
  </si>
  <si>
    <t>อังคาร</t>
  </si>
  <si>
    <t>Sal</t>
  </si>
  <si>
    <t>T3</t>
  </si>
  <si>
    <t>منگل</t>
  </si>
  <si>
    <t>Wed</t>
  </si>
  <si>
    <t>Mër</t>
  </si>
  <si>
    <t>الأربعاء</t>
  </si>
  <si>
    <t>Չոր.</t>
  </si>
  <si>
    <t>Ç</t>
  </si>
  <si>
    <t>Сря</t>
  </si>
  <si>
    <t>Dix</t>
  </si>
  <si>
    <t>周三</t>
  </si>
  <si>
    <t>Sri</t>
  </si>
  <si>
    <t>St</t>
  </si>
  <si>
    <t>Ons</t>
  </si>
  <si>
    <t>Wo</t>
  </si>
  <si>
    <t>Mik</t>
  </si>
  <si>
    <t>ოთხშ</t>
  </si>
  <si>
    <t>Τετ</t>
  </si>
  <si>
    <t>רביעי</t>
  </si>
  <si>
    <t>Sze</t>
  </si>
  <si>
    <t>Rab</t>
  </si>
  <si>
    <t>Mið</t>
  </si>
  <si>
    <t>Mer</t>
  </si>
  <si>
    <t>수</t>
  </si>
  <si>
    <t>Treč</t>
  </si>
  <si>
    <t>Сре</t>
  </si>
  <si>
    <t>Erb</t>
  </si>
  <si>
    <t>چهارشنبه</t>
  </si>
  <si>
    <t>Śr</t>
  </si>
  <si>
    <t>Qua</t>
  </si>
  <si>
    <t>Mie</t>
  </si>
  <si>
    <t>Sre</t>
  </si>
  <si>
    <t>พุธ</t>
  </si>
  <si>
    <t>Çar</t>
  </si>
  <si>
    <t>T4</t>
  </si>
  <si>
    <t>Ср</t>
  </si>
  <si>
    <t>بدھ</t>
  </si>
  <si>
    <t>Thu</t>
  </si>
  <si>
    <t>Enjt</t>
  </si>
  <si>
    <t>الخميس</t>
  </si>
  <si>
    <t>Հինգ.</t>
  </si>
  <si>
    <t>CA</t>
  </si>
  <si>
    <t>Четв</t>
  </si>
  <si>
    <t>Dij</t>
  </si>
  <si>
    <t>周四</t>
  </si>
  <si>
    <t>Čet</t>
  </si>
  <si>
    <t>Čt</t>
  </si>
  <si>
    <t>Do</t>
  </si>
  <si>
    <t>Hós</t>
  </si>
  <si>
    <t>ხუთშ</t>
  </si>
  <si>
    <t>Πεμ</t>
  </si>
  <si>
    <t>חמישי</t>
  </si>
  <si>
    <t>Csü</t>
  </si>
  <si>
    <t>Kam</t>
  </si>
  <si>
    <t>Fim</t>
  </si>
  <si>
    <t>Gio</t>
  </si>
  <si>
    <t>목</t>
  </si>
  <si>
    <t>Ketv</t>
  </si>
  <si>
    <t>Чет</t>
  </si>
  <si>
    <t>Ħam</t>
  </si>
  <si>
    <t>Tors</t>
  </si>
  <si>
    <t>پنجشنبه</t>
  </si>
  <si>
    <t>Cz</t>
  </si>
  <si>
    <t>Qui</t>
  </si>
  <si>
    <t>Joi</t>
  </si>
  <si>
    <t>Št</t>
  </si>
  <si>
    <t>พฤหัส</t>
  </si>
  <si>
    <t>Per</t>
  </si>
  <si>
    <t>T5</t>
  </si>
  <si>
    <t>Чт</t>
  </si>
  <si>
    <t>جمعرات</t>
  </si>
  <si>
    <t>Fri</t>
  </si>
  <si>
    <t>Pre</t>
  </si>
  <si>
    <t>الجمعة</t>
  </si>
  <si>
    <t>Ուրբ.</t>
  </si>
  <si>
    <t>C</t>
  </si>
  <si>
    <t>Пет</t>
  </si>
  <si>
    <t>Div</t>
  </si>
  <si>
    <t>周五</t>
  </si>
  <si>
    <t>Pet</t>
  </si>
  <si>
    <t>Pá</t>
  </si>
  <si>
    <t>Fre</t>
  </si>
  <si>
    <t>Vr</t>
  </si>
  <si>
    <t>Frí</t>
  </si>
  <si>
    <t>პარ</t>
  </si>
  <si>
    <t>Παρ</t>
  </si>
  <si>
    <t>שישי</t>
  </si>
  <si>
    <t>Pé</t>
  </si>
  <si>
    <t>Jum</t>
  </si>
  <si>
    <t>Fös</t>
  </si>
  <si>
    <t>Ven</t>
  </si>
  <si>
    <t>금</t>
  </si>
  <si>
    <t>Penk</t>
  </si>
  <si>
    <t>Ġim</t>
  </si>
  <si>
    <t>جمعه</t>
  </si>
  <si>
    <t>Pt</t>
  </si>
  <si>
    <t>Sex</t>
  </si>
  <si>
    <t>Vin</t>
  </si>
  <si>
    <t>Pi</t>
  </si>
  <si>
    <t>ศุกร์</t>
  </si>
  <si>
    <t>Cum</t>
  </si>
  <si>
    <t>T6</t>
  </si>
  <si>
    <t>Пт</t>
  </si>
  <si>
    <t>جمعہ</t>
  </si>
  <si>
    <t>Sat</t>
  </si>
  <si>
    <t>Sht</t>
  </si>
  <si>
    <t>السبت</t>
  </si>
  <si>
    <t>Շաբ.</t>
  </si>
  <si>
    <t>Ş</t>
  </si>
  <si>
    <t>Съб</t>
  </si>
  <si>
    <t>Dis</t>
  </si>
  <si>
    <t>周六</t>
  </si>
  <si>
    <t>Sub</t>
  </si>
  <si>
    <t>So</t>
  </si>
  <si>
    <t>Lør</t>
  </si>
  <si>
    <t>Za</t>
  </si>
  <si>
    <t>Ley</t>
  </si>
  <si>
    <t>შაბ</t>
  </si>
  <si>
    <t>Σαβ</t>
  </si>
  <si>
    <t>שבת</t>
  </si>
  <si>
    <t>Szo</t>
  </si>
  <si>
    <t>Sab</t>
  </si>
  <si>
    <t>Lau</t>
  </si>
  <si>
    <t>토</t>
  </si>
  <si>
    <t>Šešt</t>
  </si>
  <si>
    <t>Саб</t>
  </si>
  <si>
    <t>Sib</t>
  </si>
  <si>
    <t>شنبه</t>
  </si>
  <si>
    <t>Sam</t>
  </si>
  <si>
    <t>Sob</t>
  </si>
  <si>
    <t>Lör</t>
  </si>
  <si>
    <t>เสาร์</t>
  </si>
  <si>
    <t>Cmt</t>
  </si>
  <si>
    <t>T7</t>
  </si>
  <si>
    <t>Сб</t>
  </si>
  <si>
    <t>سنیچر</t>
  </si>
  <si>
    <t>Jan</t>
  </si>
  <si>
    <t>كانون ثاني</t>
  </si>
  <si>
    <t>Հունվ.</t>
  </si>
  <si>
    <t>Yan</t>
  </si>
  <si>
    <t>Януари</t>
  </si>
  <si>
    <t>Gen</t>
  </si>
  <si>
    <t>一月</t>
  </si>
  <si>
    <t>Sij</t>
  </si>
  <si>
    <t>Janv</t>
  </si>
  <si>
    <t>იან</t>
  </si>
  <si>
    <t>Ιαν</t>
  </si>
  <si>
    <t>ינואר</t>
  </si>
  <si>
    <t>1월</t>
  </si>
  <si>
    <t>Saus</t>
  </si>
  <si>
    <t>Јан</t>
  </si>
  <si>
    <t>زانویه</t>
  </si>
  <si>
    <t>Sty</t>
  </si>
  <si>
    <t>Ian</t>
  </si>
  <si>
    <t>Ene</t>
  </si>
  <si>
    <t>jan</t>
  </si>
  <si>
    <t>มกราคม</t>
  </si>
  <si>
    <t>Oca</t>
  </si>
  <si>
    <t>Tháng 1</t>
  </si>
  <si>
    <t>Січ</t>
  </si>
  <si>
    <t>جنوری</t>
  </si>
  <si>
    <t>Feb</t>
  </si>
  <si>
    <t>Shk</t>
  </si>
  <si>
    <t>شباط</t>
  </si>
  <si>
    <t>Փետր.</t>
  </si>
  <si>
    <t>Fev</t>
  </si>
  <si>
    <t>Февруари</t>
  </si>
  <si>
    <t>二月</t>
  </si>
  <si>
    <t>Vel</t>
  </si>
  <si>
    <t>Févr</t>
  </si>
  <si>
    <t>თებ</t>
  </si>
  <si>
    <t>Φεβ</t>
  </si>
  <si>
    <t>פברואר</t>
  </si>
  <si>
    <t>Peb</t>
  </si>
  <si>
    <t>2월</t>
  </si>
  <si>
    <t>Фев</t>
  </si>
  <si>
    <t>Fra</t>
  </si>
  <si>
    <t>فوریه</t>
  </si>
  <si>
    <t>Lut</t>
  </si>
  <si>
    <t>กุมภาพันธ์</t>
  </si>
  <si>
    <t>Şub</t>
  </si>
  <si>
    <t>Tháng 2</t>
  </si>
  <si>
    <t>Лют</t>
  </si>
  <si>
    <t>فروری</t>
  </si>
  <si>
    <t>آذار</t>
  </si>
  <si>
    <t>Մարտ</t>
  </si>
  <si>
    <t>Март</t>
  </si>
  <si>
    <t>三月</t>
  </si>
  <si>
    <t>Ožu</t>
  </si>
  <si>
    <t>Mrt</t>
  </si>
  <si>
    <t>Mars</t>
  </si>
  <si>
    <t>მარ</t>
  </si>
  <si>
    <t>Mrz</t>
  </si>
  <si>
    <t>Μαρ</t>
  </si>
  <si>
    <t>מרץ</t>
  </si>
  <si>
    <t>Már</t>
  </si>
  <si>
    <t>3월</t>
  </si>
  <si>
    <t>Kov</t>
  </si>
  <si>
    <t>Мар</t>
  </si>
  <si>
    <t>مارس</t>
  </si>
  <si>
    <t>mar</t>
  </si>
  <si>
    <t>มีนาคม</t>
  </si>
  <si>
    <t>Tháng 3</t>
  </si>
  <si>
    <t>Бер</t>
  </si>
  <si>
    <t>مارچ</t>
  </si>
  <si>
    <t>Apr</t>
  </si>
  <si>
    <t>Pri</t>
  </si>
  <si>
    <t>نيسان</t>
  </si>
  <si>
    <t>Ապրիլ</t>
  </si>
  <si>
    <t>Април</t>
  </si>
  <si>
    <t>Abr</t>
  </si>
  <si>
    <t>四月</t>
  </si>
  <si>
    <t>Tra</t>
  </si>
  <si>
    <t>Avr</t>
  </si>
  <si>
    <t>აპრ</t>
  </si>
  <si>
    <t>Απρ</t>
  </si>
  <si>
    <t>אפריל</t>
  </si>
  <si>
    <t>Ápr</t>
  </si>
  <si>
    <t>4월</t>
  </si>
  <si>
    <t>Bal</t>
  </si>
  <si>
    <t>Апр</t>
  </si>
  <si>
    <t>آوریل</t>
  </si>
  <si>
    <t>Kwi</t>
  </si>
  <si>
    <t>apr</t>
  </si>
  <si>
    <t>เมษายน</t>
  </si>
  <si>
    <t>Nis</t>
  </si>
  <si>
    <t>Tháng 4</t>
  </si>
  <si>
    <t>Квіт</t>
  </si>
  <si>
    <t>اپریل</t>
  </si>
  <si>
    <t>May</t>
  </si>
  <si>
    <t>Maj</t>
  </si>
  <si>
    <t>أياد</t>
  </si>
  <si>
    <t>Մայիս</t>
  </si>
  <si>
    <t>Май</t>
  </si>
  <si>
    <t>Mai</t>
  </si>
  <si>
    <t>五月</t>
  </si>
  <si>
    <t>Svi</t>
  </si>
  <si>
    <t>Mei</t>
  </si>
  <si>
    <t>მაი</t>
  </si>
  <si>
    <t>Μαϊ</t>
  </si>
  <si>
    <t>מאי</t>
  </si>
  <si>
    <t>Máj</t>
  </si>
  <si>
    <t>Maí</t>
  </si>
  <si>
    <t>Mag</t>
  </si>
  <si>
    <t>5월</t>
  </si>
  <si>
    <t>Geg</t>
  </si>
  <si>
    <t>Мај</t>
  </si>
  <si>
    <t>Mej</t>
  </si>
  <si>
    <t>می</t>
  </si>
  <si>
    <t>maj</t>
  </si>
  <si>
    <t>พฤษภาคม</t>
  </si>
  <si>
    <t>Tháng 5</t>
  </si>
  <si>
    <t>Трав</t>
  </si>
  <si>
    <t>مئی</t>
  </si>
  <si>
    <t>Jun</t>
  </si>
  <si>
    <t>Qer</t>
  </si>
  <si>
    <t>حزيران</t>
  </si>
  <si>
    <t>Հունիս</t>
  </si>
  <si>
    <t>İyn</t>
  </si>
  <si>
    <t>Юни</t>
  </si>
  <si>
    <t>六月</t>
  </si>
  <si>
    <t>Lip</t>
  </si>
  <si>
    <t>Čer</t>
  </si>
  <si>
    <t>Juin</t>
  </si>
  <si>
    <t>ივნ</t>
  </si>
  <si>
    <t>Ιουν</t>
  </si>
  <si>
    <t>יוני</t>
  </si>
  <si>
    <t>Jún</t>
  </si>
  <si>
    <t>Giu</t>
  </si>
  <si>
    <t>6월</t>
  </si>
  <si>
    <t>Birž</t>
  </si>
  <si>
    <t>Јун</t>
  </si>
  <si>
    <t>Ġun</t>
  </si>
  <si>
    <t>ژوئن</t>
  </si>
  <si>
    <t>Cze</t>
  </si>
  <si>
    <t>Iun</t>
  </si>
  <si>
    <t>jun</t>
  </si>
  <si>
    <t>มิถุนายน</t>
  </si>
  <si>
    <t>Haz</t>
  </si>
  <si>
    <t>Tháng 6</t>
  </si>
  <si>
    <t>Черв</t>
  </si>
  <si>
    <t>جون</t>
  </si>
  <si>
    <t>Jul</t>
  </si>
  <si>
    <t>Kor</t>
  </si>
  <si>
    <t>تموز</t>
  </si>
  <si>
    <t>Հուլիս</t>
  </si>
  <si>
    <t>İyl</t>
  </si>
  <si>
    <t>Юли</t>
  </si>
  <si>
    <t>七月</t>
  </si>
  <si>
    <t>Srp</t>
  </si>
  <si>
    <t>Čec</t>
  </si>
  <si>
    <t>Juil</t>
  </si>
  <si>
    <t>ივლ</t>
  </si>
  <si>
    <t>Ιουλ</t>
  </si>
  <si>
    <t>יולי</t>
  </si>
  <si>
    <t>Júl</t>
  </si>
  <si>
    <t>Lug</t>
  </si>
  <si>
    <t>7월</t>
  </si>
  <si>
    <t>Lie</t>
  </si>
  <si>
    <t>Јул</t>
  </si>
  <si>
    <t>Lul</t>
  </si>
  <si>
    <t>ژولای</t>
  </si>
  <si>
    <t>Iul</t>
  </si>
  <si>
    <t>jul</t>
  </si>
  <si>
    <t>กรกฎาคม</t>
  </si>
  <si>
    <t>Tem</t>
  </si>
  <si>
    <t>Tháng 7</t>
  </si>
  <si>
    <t>Лип</t>
  </si>
  <si>
    <t>جولائی</t>
  </si>
  <si>
    <t>Aug</t>
  </si>
  <si>
    <t>Gus</t>
  </si>
  <si>
    <t>آب</t>
  </si>
  <si>
    <t>Օգոս.</t>
  </si>
  <si>
    <t>Avq</t>
  </si>
  <si>
    <t>Август</t>
  </si>
  <si>
    <t>Ago</t>
  </si>
  <si>
    <t>八月</t>
  </si>
  <si>
    <t>Kol</t>
  </si>
  <si>
    <t>Août</t>
  </si>
  <si>
    <t>აგვ</t>
  </si>
  <si>
    <t>Αυγ</t>
  </si>
  <si>
    <t>אוגוסט</t>
  </si>
  <si>
    <t>Agu</t>
  </si>
  <si>
    <t>Ágú</t>
  </si>
  <si>
    <t>8월</t>
  </si>
  <si>
    <t>Rugp</t>
  </si>
  <si>
    <t>Авг</t>
  </si>
  <si>
    <t>Aww</t>
  </si>
  <si>
    <t>اگوست</t>
  </si>
  <si>
    <t>Się</t>
  </si>
  <si>
    <t>Avg</t>
  </si>
  <si>
    <t>สิงหาคม</t>
  </si>
  <si>
    <t>Ağu</t>
  </si>
  <si>
    <t>Tháng 8</t>
  </si>
  <si>
    <t>Серп</t>
  </si>
  <si>
    <t>اگست</t>
  </si>
  <si>
    <t>Sep</t>
  </si>
  <si>
    <t>Shta</t>
  </si>
  <si>
    <t>أيلول</t>
  </si>
  <si>
    <t>Սեպտ.</t>
  </si>
  <si>
    <t>Септември</t>
  </si>
  <si>
    <t>Set</t>
  </si>
  <si>
    <t>九月</t>
  </si>
  <si>
    <t>Ruj</t>
  </si>
  <si>
    <t>Sept</t>
  </si>
  <si>
    <t>სექ</t>
  </si>
  <si>
    <t>Σεπ</t>
  </si>
  <si>
    <t>ספטמבר</t>
  </si>
  <si>
    <t>Szep</t>
  </si>
  <si>
    <t>9월</t>
  </si>
  <si>
    <t>Rugs</t>
  </si>
  <si>
    <t>Сеп</t>
  </si>
  <si>
    <t>سپتامبر</t>
  </si>
  <si>
    <t>Wrz</t>
  </si>
  <si>
    <t>sep</t>
  </si>
  <si>
    <t>กันยายน</t>
  </si>
  <si>
    <t>Eyl</t>
  </si>
  <si>
    <t>Tháng 9</t>
  </si>
  <si>
    <t>Вер</t>
  </si>
  <si>
    <t>ستمبر</t>
  </si>
  <si>
    <t>Oct</t>
  </si>
  <si>
    <t>Tet</t>
  </si>
  <si>
    <t>تشرين أول</t>
  </si>
  <si>
    <t>Հոկտ.</t>
  </si>
  <si>
    <t>Okt</t>
  </si>
  <si>
    <t>Октомври</t>
  </si>
  <si>
    <t>十月</t>
  </si>
  <si>
    <t>Lis</t>
  </si>
  <si>
    <t>ოქტ</t>
  </si>
  <si>
    <t>Οκτ</t>
  </si>
  <si>
    <t>אוקטובר</t>
  </si>
  <si>
    <t>Ott</t>
  </si>
  <si>
    <t>10월</t>
  </si>
  <si>
    <t>Spa</t>
  </si>
  <si>
    <t>Окт</t>
  </si>
  <si>
    <t>اکتبر</t>
  </si>
  <si>
    <t>Paź</t>
  </si>
  <si>
    <t>Out</t>
  </si>
  <si>
    <t>okt</t>
  </si>
  <si>
    <t>ตุลาคม</t>
  </si>
  <si>
    <t>Eki</t>
  </si>
  <si>
    <t>Tháng 10</t>
  </si>
  <si>
    <t>Жовт</t>
  </si>
  <si>
    <t>اکتوبر</t>
  </si>
  <si>
    <t>Nov</t>
  </si>
  <si>
    <t>Nën</t>
  </si>
  <si>
    <t>تشرين ثاني</t>
  </si>
  <si>
    <t>Նոյեմ.</t>
  </si>
  <si>
    <t>Noy</t>
  </si>
  <si>
    <t>Ноември</t>
  </si>
  <si>
    <t>十一月</t>
  </si>
  <si>
    <t>Stu</t>
  </si>
  <si>
    <t>ნოე</t>
  </si>
  <si>
    <t>Νοε</t>
  </si>
  <si>
    <t>נובמבר</t>
  </si>
  <si>
    <t>Nop</t>
  </si>
  <si>
    <t>Nóv</t>
  </si>
  <si>
    <t>11월</t>
  </si>
  <si>
    <t>Lapk</t>
  </si>
  <si>
    <t>Ное</t>
  </si>
  <si>
    <t>نوامبر</t>
  </si>
  <si>
    <t>Noi</t>
  </si>
  <si>
    <t>nov</t>
  </si>
  <si>
    <t>พฤศจิกายน</t>
  </si>
  <si>
    <t>Kas</t>
  </si>
  <si>
    <t>Tháng 11</t>
  </si>
  <si>
    <t>Лист</t>
  </si>
  <si>
    <t>نومبر</t>
  </si>
  <si>
    <t>Dec</t>
  </si>
  <si>
    <t>Dhj</t>
  </si>
  <si>
    <t>كانون أول</t>
  </si>
  <si>
    <t>Դեկտ.</t>
  </si>
  <si>
    <t>Dek</t>
  </si>
  <si>
    <t>Декември</t>
  </si>
  <si>
    <t>Des</t>
  </si>
  <si>
    <t>十二月</t>
  </si>
  <si>
    <t>Pro</t>
  </si>
  <si>
    <t>Déc</t>
  </si>
  <si>
    <t>დეკ</t>
  </si>
  <si>
    <t>Dez</t>
  </si>
  <si>
    <t>Δεκ</t>
  </si>
  <si>
    <t>דצמבר</t>
  </si>
  <si>
    <t>Dic</t>
  </si>
  <si>
    <t>12월</t>
  </si>
  <si>
    <t>Gruo</t>
  </si>
  <si>
    <t>Дек</t>
  </si>
  <si>
    <t>Deċ</t>
  </si>
  <si>
    <t>دسامبر</t>
  </si>
  <si>
    <t>Gru</t>
  </si>
  <si>
    <t>dec</t>
  </si>
  <si>
    <t>ธันวาคม</t>
  </si>
  <si>
    <t>Ara</t>
  </si>
  <si>
    <t>Tháng 12</t>
  </si>
  <si>
    <t>Груд</t>
  </si>
  <si>
    <t>دسمبر</t>
  </si>
  <si>
    <t>Team</t>
  </si>
  <si>
    <t>Ekipi</t>
  </si>
  <si>
    <t>المنتخب</t>
  </si>
  <si>
    <t>Հավաքական</t>
  </si>
  <si>
    <t>Komanda</t>
  </si>
  <si>
    <t>Отбор</t>
  </si>
  <si>
    <t>Equip</t>
  </si>
  <si>
    <t>球队</t>
  </si>
  <si>
    <t>隊伍</t>
  </si>
  <si>
    <t>Hold</t>
  </si>
  <si>
    <t>Lið</t>
  </si>
  <si>
    <t>Équipe</t>
  </si>
  <si>
    <t>ნაკრები</t>
  </si>
  <si>
    <t>Ομάδα</t>
  </si>
  <si>
    <t>קבוצה</t>
  </si>
  <si>
    <t>Csapat</t>
  </si>
  <si>
    <t>Tim</t>
  </si>
  <si>
    <t>Squadra</t>
  </si>
  <si>
    <t>팀</t>
  </si>
  <si>
    <t>Тим</t>
  </si>
  <si>
    <t>Lag</t>
  </si>
  <si>
    <t>تیم</t>
  </si>
  <si>
    <t>Drużyna</t>
  </si>
  <si>
    <t>Equipa</t>
  </si>
  <si>
    <t>Echipa</t>
  </si>
  <si>
    <t>Reprezentacija</t>
  </si>
  <si>
    <t>Mužstvo</t>
  </si>
  <si>
    <t>Moštvo</t>
  </si>
  <si>
    <t>Equipo</t>
  </si>
  <si>
    <t>ทึม</t>
  </si>
  <si>
    <t>Takım</t>
  </si>
  <si>
    <t>Đội</t>
  </si>
  <si>
    <t>Команда</t>
  </si>
  <si>
    <t>ٹیم</t>
  </si>
  <si>
    <t>Senegal</t>
  </si>
  <si>
    <t>السنغال</t>
  </si>
  <si>
    <t>Սենեգալ</t>
  </si>
  <si>
    <t>Seneqal</t>
  </si>
  <si>
    <t>Сенегал</t>
  </si>
  <si>
    <t>塞内加尔</t>
  </si>
  <si>
    <t>塞內加爾</t>
  </si>
  <si>
    <t>Sénégal</t>
  </si>
  <si>
    <t>სენეგალი</t>
  </si>
  <si>
    <t>Σενεγάλη</t>
  </si>
  <si>
    <t>סנגל</t>
  </si>
  <si>
    <t>Szenegál</t>
  </si>
  <si>
    <t>senegal</t>
  </si>
  <si>
    <t>세네갈</t>
  </si>
  <si>
    <t>Senegalas</t>
  </si>
  <si>
    <t>سنگال</t>
  </si>
  <si>
    <t>сенегал</t>
  </si>
  <si>
    <t>ประเทศเซเนกัล</t>
  </si>
  <si>
    <t>سنیگال</t>
  </si>
  <si>
    <t>Qatar</t>
  </si>
  <si>
    <t>Katari</t>
  </si>
  <si>
    <t>دولة قطر</t>
  </si>
  <si>
    <t>Քաթար</t>
  </si>
  <si>
    <t>Катар</t>
  </si>
  <si>
    <t>卡塔尔</t>
  </si>
  <si>
    <t>卡塔爾</t>
  </si>
  <si>
    <t>Katar</t>
  </si>
  <si>
    <t>ᲙᲐᲢᲐᲠᲘ</t>
  </si>
  <si>
    <t>Κατάρ</t>
  </si>
  <si>
    <t>קטאר</t>
  </si>
  <si>
    <t>카타르</t>
  </si>
  <si>
    <t>Kataras</t>
  </si>
  <si>
    <t>قطر</t>
  </si>
  <si>
    <t>Catar</t>
  </si>
  <si>
    <t>กาตาร์</t>
  </si>
  <si>
    <t>Ecuador</t>
  </si>
  <si>
    <t>Ekuador</t>
  </si>
  <si>
    <t>الإكوادور</t>
  </si>
  <si>
    <t>Էկվադոր</t>
  </si>
  <si>
    <t>Ekvador</t>
  </si>
  <si>
    <t>Еквадор</t>
  </si>
  <si>
    <t>厄瓜多尔</t>
  </si>
  <si>
    <t>厄瓜多爾</t>
  </si>
  <si>
    <t>Ekvádor</t>
  </si>
  <si>
    <t>Equateur</t>
  </si>
  <si>
    <t>ᲔᲙᲕᲐᲓᲝᲠᲘ</t>
  </si>
  <si>
    <t>Εκουαδόρ</t>
  </si>
  <si>
    <t>אקוודור</t>
  </si>
  <si>
    <t>에콰도르</t>
  </si>
  <si>
    <t>Ekvadoras</t>
  </si>
  <si>
    <t>Ekwador</t>
  </si>
  <si>
    <t>اکوادور</t>
  </si>
  <si>
    <t>Equador</t>
  </si>
  <si>
    <t>เอกวาดอร์</t>
  </si>
  <si>
    <t>ایکواڈور</t>
  </si>
  <si>
    <t>Netherlands</t>
  </si>
  <si>
    <t>Hollandë</t>
  </si>
  <si>
    <t>هولندا</t>
  </si>
  <si>
    <t>Նիդեռլանդներ</t>
  </si>
  <si>
    <t>Hollandiya</t>
  </si>
  <si>
    <t>Холандия</t>
  </si>
  <si>
    <t>Països Baixos</t>
  </si>
  <si>
    <t>荷兰</t>
  </si>
  <si>
    <t>荷蘭</t>
  </si>
  <si>
    <t>Nizozemska</t>
  </si>
  <si>
    <t>Holandsko</t>
  </si>
  <si>
    <t>Holland</t>
  </si>
  <si>
    <t>Nederland</t>
  </si>
  <si>
    <t>Pays-Bas</t>
  </si>
  <si>
    <t>ᲜᲘᲓᲔᲠᲚᲐᲜᲓᲔᲑᲘ</t>
  </si>
  <si>
    <t>Niederlande</t>
  </si>
  <si>
    <t>Ολλανδία</t>
  </si>
  <si>
    <t>הולנד</t>
  </si>
  <si>
    <t>Hollandia</t>
  </si>
  <si>
    <t>Belanda</t>
  </si>
  <si>
    <t>Olanda</t>
  </si>
  <si>
    <t>네덜란드</t>
  </si>
  <si>
    <t>Nyderlandai</t>
  </si>
  <si>
    <t>Холандија</t>
  </si>
  <si>
    <t>هلند</t>
  </si>
  <si>
    <t>Holandia</t>
  </si>
  <si>
    <t>Holanda</t>
  </si>
  <si>
    <t>Низоземска</t>
  </si>
  <si>
    <t>Países Bajos</t>
  </si>
  <si>
    <t>Nederländska</t>
  </si>
  <si>
    <t>เนเธอร์แลนด์</t>
  </si>
  <si>
    <t>Hollanda</t>
  </si>
  <si>
    <t>NướC Hà Lan</t>
  </si>
  <si>
    <t>Нідерланди</t>
  </si>
  <si>
    <t>نیدرلینڈز</t>
  </si>
  <si>
    <t>England</t>
  </si>
  <si>
    <t>Angli</t>
  </si>
  <si>
    <t>انجلترا</t>
  </si>
  <si>
    <t>Անգլիա</t>
  </si>
  <si>
    <t>İngiltərə</t>
  </si>
  <si>
    <t>Англия</t>
  </si>
  <si>
    <t>Anglaterra</t>
  </si>
  <si>
    <t>英国</t>
  </si>
  <si>
    <t>英國</t>
  </si>
  <si>
    <t>Engleska</t>
  </si>
  <si>
    <t>Anglie</t>
  </si>
  <si>
    <t>Engeland</t>
  </si>
  <si>
    <t>Angleterre</t>
  </si>
  <si>
    <t>ინგლისი</t>
  </si>
  <si>
    <t>Αγγλία</t>
  </si>
  <si>
    <t>אנגליה</t>
  </si>
  <si>
    <t>Anglia</t>
  </si>
  <si>
    <t>Inggris</t>
  </si>
  <si>
    <t>Inghilterra</t>
  </si>
  <si>
    <t>영국</t>
  </si>
  <si>
    <t>Anglija</t>
  </si>
  <si>
    <t>Англија</t>
  </si>
  <si>
    <t>Ingilterra</t>
  </si>
  <si>
    <t>انگلستان</t>
  </si>
  <si>
    <t>Inglaterra</t>
  </si>
  <si>
    <t>Енглеска</t>
  </si>
  <si>
    <t>Anglicko</t>
  </si>
  <si>
    <t>อังกฤษ</t>
  </si>
  <si>
    <t>İngiltere</t>
  </si>
  <si>
    <t>Anh</t>
  </si>
  <si>
    <t>Англія</t>
  </si>
  <si>
    <t>انگلینڈ</t>
  </si>
  <si>
    <t>Iran</t>
  </si>
  <si>
    <t>ايران</t>
  </si>
  <si>
    <t>Իրան</t>
  </si>
  <si>
    <t>İran</t>
  </si>
  <si>
    <t>Иран</t>
  </si>
  <si>
    <t>伊朗</t>
  </si>
  <si>
    <t>Írán</t>
  </si>
  <si>
    <t>ირანის</t>
  </si>
  <si>
    <t>Ιράν</t>
  </si>
  <si>
    <t>אירן</t>
  </si>
  <si>
    <t>Irán</t>
  </si>
  <si>
    <t>Íran</t>
  </si>
  <si>
    <t>이란</t>
  </si>
  <si>
    <t>Iranas</t>
  </si>
  <si>
    <t>ایران</t>
  </si>
  <si>
    <t>Irã</t>
  </si>
  <si>
    <t>อิหร่าน</t>
  </si>
  <si>
    <t>Іран</t>
  </si>
  <si>
    <t>United States</t>
  </si>
  <si>
    <t>Shtetet E Bashkuara</t>
  </si>
  <si>
    <t>الولايات المتحدة</t>
  </si>
  <si>
    <t>Միացյալ Նահանգներ</t>
  </si>
  <si>
    <t>Amerika BirləŞmiş Ştatları</t>
  </si>
  <si>
    <t>Съединени Щати</t>
  </si>
  <si>
    <t>Estats Units</t>
  </si>
  <si>
    <t>美国</t>
  </si>
  <si>
    <t>美國</t>
  </si>
  <si>
    <t>Ujedinjene Države</t>
  </si>
  <si>
    <t>Spojené Státy</t>
  </si>
  <si>
    <t>Forenede Stater</t>
  </si>
  <si>
    <t>Verenigde Staten</t>
  </si>
  <si>
    <t>États-Unis</t>
  </si>
  <si>
    <t>ᲨᲔᲔᲠᲗᲔᲑᲣᲚᲘ ᲨᲢᲐᲢᲔᲑᲘ</t>
  </si>
  <si>
    <t>Vereinigte Staaten</t>
  </si>
  <si>
    <t>Ηνωμένες Πολιτείες</t>
  </si>
  <si>
    <t>ארצות הברית</t>
  </si>
  <si>
    <t>Egyesült Államok</t>
  </si>
  <si>
    <t>Amerika Serikat</t>
  </si>
  <si>
    <t>Bandaríkin</t>
  </si>
  <si>
    <t>Stati Uniti</t>
  </si>
  <si>
    <t>미국</t>
  </si>
  <si>
    <t>Jungtinės Valstijos</t>
  </si>
  <si>
    <t>Соединети Држави</t>
  </si>
  <si>
    <t>USA</t>
  </si>
  <si>
    <t>ایالات متحده</t>
  </si>
  <si>
    <t>Stany Zjednoczone</t>
  </si>
  <si>
    <t>Estados Unidos</t>
  </si>
  <si>
    <t>Statele Unite</t>
  </si>
  <si>
    <t>Америка</t>
  </si>
  <si>
    <t>Spojené Štáty</t>
  </si>
  <si>
    <t>Združene Države</t>
  </si>
  <si>
    <t>Förenta Staterna</t>
  </si>
  <si>
    <t>สหรัฐ</t>
  </si>
  <si>
    <t>Amerika Birleşik Devletleri</t>
  </si>
  <si>
    <t>Hoa Kỳ</t>
  </si>
  <si>
    <t>Сполучені Штати</t>
  </si>
  <si>
    <t>ریاستہائے متحدہ</t>
  </si>
  <si>
    <t>Wales</t>
  </si>
  <si>
    <t>Uells</t>
  </si>
  <si>
    <t>ويلز</t>
  </si>
  <si>
    <t>Ուելս</t>
  </si>
  <si>
    <t>Uels</t>
  </si>
  <si>
    <t>Уелс</t>
  </si>
  <si>
    <t>Gal·Les</t>
  </si>
  <si>
    <t>威尔士</t>
  </si>
  <si>
    <t>威爾士</t>
  </si>
  <si>
    <t>Pays De Galles</t>
  </si>
  <si>
    <t>ᲣᲔᲚᲡᲘ</t>
  </si>
  <si>
    <t>Ουαλία</t>
  </si>
  <si>
    <t>וויילס</t>
  </si>
  <si>
    <t>Galles</t>
  </si>
  <si>
    <t>웨일즈</t>
  </si>
  <si>
    <t>Velsas</t>
  </si>
  <si>
    <t>Велс</t>
  </si>
  <si>
    <t>ولز</t>
  </si>
  <si>
    <t>Walia</t>
  </si>
  <si>
    <t>Gales</t>
  </si>
  <si>
    <t>Țara Galilor</t>
  </si>
  <si>
    <t>Веллес</t>
  </si>
  <si>
    <t>เวลส์</t>
  </si>
  <si>
    <t>Galler</t>
  </si>
  <si>
    <t>Xứ Wales</t>
  </si>
  <si>
    <t>Уельс</t>
  </si>
  <si>
    <t>ویلز</t>
  </si>
  <si>
    <t>Argentina</t>
  </si>
  <si>
    <t>Argjentinë</t>
  </si>
  <si>
    <t>الأرجنتين</t>
  </si>
  <si>
    <t>Արգենտինա</t>
  </si>
  <si>
    <t>Аржентина</t>
  </si>
  <si>
    <t>阿根廷</t>
  </si>
  <si>
    <t>Argentinië</t>
  </si>
  <si>
    <t>Argentine</t>
  </si>
  <si>
    <t>არგენტინის</t>
  </si>
  <si>
    <t>Argentinien</t>
  </si>
  <si>
    <t>Αργεντινή</t>
  </si>
  <si>
    <t>ארגנטינה</t>
  </si>
  <si>
    <t>Argentína</t>
  </si>
  <si>
    <t>아르헨티나</t>
  </si>
  <si>
    <t>Аргентина</t>
  </si>
  <si>
    <t>Arġentina</t>
  </si>
  <si>
    <t>آرژانتین</t>
  </si>
  <si>
    <t>Argentyna</t>
  </si>
  <si>
    <t>อาร์เจนตินา</t>
  </si>
  <si>
    <t>Arjantin</t>
  </si>
  <si>
    <t>ارجنٹینا</t>
  </si>
  <si>
    <t>Saudi Arabia</t>
  </si>
  <si>
    <t>Arabia Saudite</t>
  </si>
  <si>
    <t>المملكة العربية السعودية</t>
  </si>
  <si>
    <t>Սաուդյան Արաբիան</t>
  </si>
  <si>
    <t>Səudiyyə Ərəbistanı</t>
  </si>
  <si>
    <t>Саудитска Арабия</t>
  </si>
  <si>
    <t>Aràbia Saudita</t>
  </si>
  <si>
    <t>沙特阿拉伯</t>
  </si>
  <si>
    <t>Saudijska Arabija</t>
  </si>
  <si>
    <t>Saudská arábie</t>
  </si>
  <si>
    <t>Saudi Arabien</t>
  </si>
  <si>
    <t>Saoedi-Arabië</t>
  </si>
  <si>
    <t>Arabie Saoudite</t>
  </si>
  <si>
    <t>საუდის არაბეთი</t>
  </si>
  <si>
    <t>Σαουδική Αραβία</t>
  </si>
  <si>
    <t>ערב הסעודית</t>
  </si>
  <si>
    <t>Szaud-Arábia</t>
  </si>
  <si>
    <t>Arab Saudi</t>
  </si>
  <si>
    <t>Sádí-Arabía</t>
  </si>
  <si>
    <t>Arabia Saudita</t>
  </si>
  <si>
    <t>사우디 아라비아</t>
  </si>
  <si>
    <t>Saudo Arabija</t>
  </si>
  <si>
    <t>Саудиска Арабија</t>
  </si>
  <si>
    <t>Għarabja Sawdita</t>
  </si>
  <si>
    <t>Saudi-Arabia</t>
  </si>
  <si>
    <t>عربستان سعودی</t>
  </si>
  <si>
    <t>Arabia Saudyjska</t>
  </si>
  <si>
    <t>Arábia Saudita</t>
  </si>
  <si>
    <t>Arabia Saudită</t>
  </si>
  <si>
    <t>Саудијска Арабија</t>
  </si>
  <si>
    <t>Saudská Arábia</t>
  </si>
  <si>
    <t>Savdska Arabija</t>
  </si>
  <si>
    <t>Saudiarabien</t>
  </si>
  <si>
    <t>ซาอุดิอาราเบีย</t>
  </si>
  <si>
    <t>Suudi Arabistan</t>
  </si>
  <si>
    <t>Ả Rập Xê-út</t>
  </si>
  <si>
    <t>Саудівська Аравія</t>
  </si>
  <si>
    <t>سعودی عرب</t>
  </si>
  <si>
    <t>Mexico</t>
  </si>
  <si>
    <t>Meksikë</t>
  </si>
  <si>
    <t>المكسيك</t>
  </si>
  <si>
    <t>Մեքսիկա</t>
  </si>
  <si>
    <t>Meksika</t>
  </si>
  <si>
    <t>Мексико</t>
  </si>
  <si>
    <t>Mèxic</t>
  </si>
  <si>
    <t>墨西哥</t>
  </si>
  <si>
    <t>Meksiko</t>
  </si>
  <si>
    <t>Mexiko</t>
  </si>
  <si>
    <t>Mexique</t>
  </si>
  <si>
    <t>მექსიკა</t>
  </si>
  <si>
    <t>Μεξικό</t>
  </si>
  <si>
    <t>מקסיקו</t>
  </si>
  <si>
    <t>Mexikó</t>
  </si>
  <si>
    <t>Messico</t>
  </si>
  <si>
    <t>멕시코</t>
  </si>
  <si>
    <t>Messiku</t>
  </si>
  <si>
    <t>مکزیک</t>
  </si>
  <si>
    <t>Meksyk</t>
  </si>
  <si>
    <t>México</t>
  </si>
  <si>
    <t>Mexic</t>
  </si>
  <si>
    <t>mexico</t>
  </si>
  <si>
    <t>ประเทศเม็กซิโก</t>
  </si>
  <si>
    <t>Мексика</t>
  </si>
  <si>
    <t>میکسیکو</t>
  </si>
  <si>
    <t>Poland</t>
  </si>
  <si>
    <t>Poloni</t>
  </si>
  <si>
    <t>بولندا</t>
  </si>
  <si>
    <t>Լեհաստան</t>
  </si>
  <si>
    <t>Polşa</t>
  </si>
  <si>
    <t>Полша</t>
  </si>
  <si>
    <t>Polònia</t>
  </si>
  <si>
    <t>波兰</t>
  </si>
  <si>
    <t>波蘭</t>
  </si>
  <si>
    <t>Poljska</t>
  </si>
  <si>
    <t>Polsko</t>
  </si>
  <si>
    <t>Polen</t>
  </si>
  <si>
    <t>PÓland</t>
  </si>
  <si>
    <t>Pologne</t>
  </si>
  <si>
    <t>პოლონეთი</t>
  </si>
  <si>
    <t>Πολωνία</t>
  </si>
  <si>
    <t>פּוֹלִין</t>
  </si>
  <si>
    <t>Lengyelország</t>
  </si>
  <si>
    <t>Polandia</t>
  </si>
  <si>
    <t>Polonia</t>
  </si>
  <si>
    <t>폴란드</t>
  </si>
  <si>
    <t>Lenkija</t>
  </si>
  <si>
    <t>Полска</t>
  </si>
  <si>
    <t>Polonja</t>
  </si>
  <si>
    <t>لهستان</t>
  </si>
  <si>
    <t>Polska</t>
  </si>
  <si>
    <t>Polônia</t>
  </si>
  <si>
    <t>Пољска</t>
  </si>
  <si>
    <t>Poľsko</t>
  </si>
  <si>
    <t>polen</t>
  </si>
  <si>
    <t>โปแลนด์</t>
  </si>
  <si>
    <t>Polonya</t>
  </si>
  <si>
    <t>Ba Lan</t>
  </si>
  <si>
    <t>Польща</t>
  </si>
  <si>
    <t>پولینڈ</t>
  </si>
  <si>
    <t>France</t>
  </si>
  <si>
    <t>Francë</t>
  </si>
  <si>
    <t>فرنسا</t>
  </si>
  <si>
    <t>Ֆրանսիա</t>
  </si>
  <si>
    <t>Fransa</t>
  </si>
  <si>
    <t>Франция</t>
  </si>
  <si>
    <t>França</t>
  </si>
  <si>
    <t>法国</t>
  </si>
  <si>
    <t>法國</t>
  </si>
  <si>
    <t>Francuska</t>
  </si>
  <si>
    <t>Francie</t>
  </si>
  <si>
    <t>Frankrig</t>
  </si>
  <si>
    <t>Frankrijk</t>
  </si>
  <si>
    <t>Frankaríki</t>
  </si>
  <si>
    <t>საფრანგეთი</t>
  </si>
  <si>
    <t>Frankreich</t>
  </si>
  <si>
    <t>Γαλλία</t>
  </si>
  <si>
    <t>צרפת</t>
  </si>
  <si>
    <t>Franciaország</t>
  </si>
  <si>
    <t>Perancis</t>
  </si>
  <si>
    <t>Francia</t>
  </si>
  <si>
    <t>프랑스</t>
  </si>
  <si>
    <t>Prancūzija</t>
  </si>
  <si>
    <t>Франција</t>
  </si>
  <si>
    <t>Franza</t>
  </si>
  <si>
    <t>Frankrike</t>
  </si>
  <si>
    <t>فرانسه</t>
  </si>
  <si>
    <t>Francja</t>
  </si>
  <si>
    <t>Franța</t>
  </si>
  <si>
    <t>Француска</t>
  </si>
  <si>
    <t>Francúzsko</t>
  </si>
  <si>
    <t>ฝรั่งเศส</t>
  </si>
  <si>
    <t>Pháp</t>
  </si>
  <si>
    <t>Франція</t>
  </si>
  <si>
    <t>فرانس</t>
  </si>
  <si>
    <t>Australia</t>
  </si>
  <si>
    <t>Australi</t>
  </si>
  <si>
    <t>أستراليا</t>
  </si>
  <si>
    <t>Ավստրալիա</t>
  </si>
  <si>
    <t>Avstraliya</t>
  </si>
  <si>
    <t>Австралия</t>
  </si>
  <si>
    <t>Austràlia</t>
  </si>
  <si>
    <t>澳大利亚</t>
  </si>
  <si>
    <t>澳大利亞</t>
  </si>
  <si>
    <t>Australija</t>
  </si>
  <si>
    <t>Austrálie</t>
  </si>
  <si>
    <t>Australien</t>
  </si>
  <si>
    <t>Australië</t>
  </si>
  <si>
    <t>Australie</t>
  </si>
  <si>
    <t>ავსტრალიაში</t>
  </si>
  <si>
    <t>Αυστραλία</t>
  </si>
  <si>
    <t>אוסטרליה</t>
  </si>
  <si>
    <t>Ausztrália</t>
  </si>
  <si>
    <t>호주</t>
  </si>
  <si>
    <t>Австралија</t>
  </si>
  <si>
    <t>Awstralja</t>
  </si>
  <si>
    <t>استرالیا</t>
  </si>
  <si>
    <t>Austrália</t>
  </si>
  <si>
    <t>Аустралија</t>
  </si>
  <si>
    <t>Avstralija</t>
  </si>
  <si>
    <t>ออสเตรเลีย</t>
  </si>
  <si>
    <t>Avustralya</t>
  </si>
  <si>
    <t>Úc</t>
  </si>
  <si>
    <t>Австралія</t>
  </si>
  <si>
    <t>آسٹریلیا</t>
  </si>
  <si>
    <t>Denmark</t>
  </si>
  <si>
    <t>Danimarkë</t>
  </si>
  <si>
    <t>الدنمارك</t>
  </si>
  <si>
    <t>Դանիա</t>
  </si>
  <si>
    <t>Danimarka</t>
  </si>
  <si>
    <t>Дания</t>
  </si>
  <si>
    <t>Dinamarca</t>
  </si>
  <si>
    <t>丹麦</t>
  </si>
  <si>
    <t>丹麥</t>
  </si>
  <si>
    <t>Danska</t>
  </si>
  <si>
    <t>Dánsko</t>
  </si>
  <si>
    <t>Danmark</t>
  </si>
  <si>
    <t>Denemarken</t>
  </si>
  <si>
    <t>Danemark</t>
  </si>
  <si>
    <t>დანია</t>
  </si>
  <si>
    <t>Dänemark</t>
  </si>
  <si>
    <t>Δανία</t>
  </si>
  <si>
    <t>דנמרק</t>
  </si>
  <si>
    <t>Dánia</t>
  </si>
  <si>
    <t>Danimarca</t>
  </si>
  <si>
    <t>덴마크</t>
  </si>
  <si>
    <t>Danija</t>
  </si>
  <si>
    <t>Данска</t>
  </si>
  <si>
    <t>دانمارک</t>
  </si>
  <si>
    <t>Dania</t>
  </si>
  <si>
    <t>Danemarca</t>
  </si>
  <si>
    <t>เดนมาร์ก</t>
  </si>
  <si>
    <t>Đan mạch</t>
  </si>
  <si>
    <t>Данія</t>
  </si>
  <si>
    <t>ڈنمارک</t>
  </si>
  <si>
    <t>Tunisia</t>
  </si>
  <si>
    <t>Tunizi</t>
  </si>
  <si>
    <t>تونس</t>
  </si>
  <si>
    <t>Թունիս</t>
  </si>
  <si>
    <t>Tunis</t>
  </si>
  <si>
    <t>Тунис</t>
  </si>
  <si>
    <t>Tunísia</t>
  </si>
  <si>
    <t>突尼斯</t>
  </si>
  <si>
    <t>Tunisko</t>
  </si>
  <si>
    <t>Tunesien</t>
  </si>
  <si>
    <t>Tunesië</t>
  </si>
  <si>
    <t>Tunesia</t>
  </si>
  <si>
    <t>Tunisie</t>
  </si>
  <si>
    <t>ტუნისში</t>
  </si>
  <si>
    <t>Τυνησία</t>
  </si>
  <si>
    <t>תוניסיה</t>
  </si>
  <si>
    <t>Tunézia</t>
  </si>
  <si>
    <t>Túnis</t>
  </si>
  <si>
    <t>튀니지</t>
  </si>
  <si>
    <t>Tunisas</t>
  </si>
  <si>
    <t>Tuneżija</t>
  </si>
  <si>
    <t>Tunezja</t>
  </si>
  <si>
    <t>Tunizija</t>
  </si>
  <si>
    <t>Túnez</t>
  </si>
  <si>
    <t>Tunisien</t>
  </si>
  <si>
    <t>ตูนิเซีย</t>
  </si>
  <si>
    <t>Tunus</t>
  </si>
  <si>
    <t>Туніс</t>
  </si>
  <si>
    <t>تیونس</t>
  </si>
  <si>
    <t>Spain</t>
  </si>
  <si>
    <t>Spanjë</t>
  </si>
  <si>
    <t>إسبانيا</t>
  </si>
  <si>
    <t>Իսպանիա</t>
  </si>
  <si>
    <t>İspaniya</t>
  </si>
  <si>
    <t>Испания</t>
  </si>
  <si>
    <t>Espanya</t>
  </si>
  <si>
    <t>西班牙</t>
  </si>
  <si>
    <t>Španjolska</t>
  </si>
  <si>
    <t>Španělsko</t>
  </si>
  <si>
    <t>Spanien</t>
  </si>
  <si>
    <t>Spanje</t>
  </si>
  <si>
    <t>Espagne</t>
  </si>
  <si>
    <t>ესპანეთში</t>
  </si>
  <si>
    <t>Ισπανία</t>
  </si>
  <si>
    <t>ספרד</t>
  </si>
  <si>
    <t>Spanyolország</t>
  </si>
  <si>
    <t>Spanyol</t>
  </si>
  <si>
    <t>spain</t>
  </si>
  <si>
    <t>Spagna</t>
  </si>
  <si>
    <t>스페인</t>
  </si>
  <si>
    <t>Ispanija</t>
  </si>
  <si>
    <t>Шпанија</t>
  </si>
  <si>
    <t>Spanja</t>
  </si>
  <si>
    <t>Spania</t>
  </si>
  <si>
    <t>کشور اسپانیا</t>
  </si>
  <si>
    <t>Hiszpania</t>
  </si>
  <si>
    <t>Espanha</t>
  </si>
  <si>
    <t>španielsko</t>
  </si>
  <si>
    <t>Španija</t>
  </si>
  <si>
    <t>España</t>
  </si>
  <si>
    <t>สเปน</t>
  </si>
  <si>
    <t>İspanya</t>
  </si>
  <si>
    <t>Tây ban nha</t>
  </si>
  <si>
    <t>Іспанія</t>
  </si>
  <si>
    <t>سپین</t>
  </si>
  <si>
    <t>Costa Rica</t>
  </si>
  <si>
    <t>Kostarikë</t>
  </si>
  <si>
    <t>كوستاريكا</t>
  </si>
  <si>
    <t>Կոստա - Ռիկա</t>
  </si>
  <si>
    <t>哥斯达黎加</t>
  </si>
  <si>
    <t>哥斯達黎加</t>
  </si>
  <si>
    <t>Kostarika</t>
  </si>
  <si>
    <t>Kosta Rika</t>
  </si>
  <si>
    <t>კოსტა რიკის</t>
  </si>
  <si>
    <t>Κόστα Ρίκα</t>
  </si>
  <si>
    <t>קוסטה ריקה</t>
  </si>
  <si>
    <t>Costarica</t>
  </si>
  <si>
    <t>코스타리카</t>
  </si>
  <si>
    <t>Коста Рика</t>
  </si>
  <si>
    <t>کاستاریکا</t>
  </si>
  <si>
    <t>Kostaryka</t>
  </si>
  <si>
    <t>Костарика</t>
  </si>
  <si>
    <t>COSTA RICA</t>
  </si>
  <si>
    <t>คอสตาริกา</t>
  </si>
  <si>
    <t>Коста -Ріка</t>
  </si>
  <si>
    <t>کوسٹا ریکا</t>
  </si>
  <si>
    <t>Germany</t>
  </si>
  <si>
    <t>Gjermani</t>
  </si>
  <si>
    <t>ألمانيا</t>
  </si>
  <si>
    <t>Գերմանիա</t>
  </si>
  <si>
    <t>Almaniya</t>
  </si>
  <si>
    <t>Германия</t>
  </si>
  <si>
    <t>Alemanya</t>
  </si>
  <si>
    <t>德国</t>
  </si>
  <si>
    <t>德國</t>
  </si>
  <si>
    <t>Njemačka</t>
  </si>
  <si>
    <t>Německo</t>
  </si>
  <si>
    <t>Tyskland</t>
  </si>
  <si>
    <t>Duitsland</t>
  </si>
  <si>
    <t>Týskland</t>
  </si>
  <si>
    <t>Allemagne</t>
  </si>
  <si>
    <t>გერმანია</t>
  </si>
  <si>
    <t>Deutschland</t>
  </si>
  <si>
    <t>Γερμανία</t>
  </si>
  <si>
    <t>גרמניה</t>
  </si>
  <si>
    <t>Németország</t>
  </si>
  <si>
    <t>Jerman</t>
  </si>
  <si>
    <t>Þýskaland</t>
  </si>
  <si>
    <t>Germania</t>
  </si>
  <si>
    <t>독일</t>
  </si>
  <si>
    <t>Vokietija</t>
  </si>
  <si>
    <t>Германија</t>
  </si>
  <si>
    <t>Ġermanja</t>
  </si>
  <si>
    <t>آلمان</t>
  </si>
  <si>
    <t>Niemcy</t>
  </si>
  <si>
    <t>Alemanha</t>
  </si>
  <si>
    <t>Немачка</t>
  </si>
  <si>
    <t>Nemecko</t>
  </si>
  <si>
    <t>Nemčija</t>
  </si>
  <si>
    <t>Alemania</t>
  </si>
  <si>
    <t>ประเทศเยอรมัน</t>
  </si>
  <si>
    <t>Almanya</t>
  </si>
  <si>
    <t>Đức</t>
  </si>
  <si>
    <t>Німеччина</t>
  </si>
  <si>
    <t>جرمنی</t>
  </si>
  <si>
    <t>Japan</t>
  </si>
  <si>
    <t>Japonia</t>
  </si>
  <si>
    <t>اليابان</t>
  </si>
  <si>
    <t>Ճապոնիա</t>
  </si>
  <si>
    <t>Yaponiya</t>
  </si>
  <si>
    <t>Япония</t>
  </si>
  <si>
    <t>Japó</t>
  </si>
  <si>
    <t>日本</t>
  </si>
  <si>
    <t>Japonsko</t>
  </si>
  <si>
    <t>Japon</t>
  </si>
  <si>
    <t>იაპონია</t>
  </si>
  <si>
    <t>Ιαπωνία</t>
  </si>
  <si>
    <t>יפן</t>
  </si>
  <si>
    <t>Japán</t>
  </si>
  <si>
    <t>Jepang</t>
  </si>
  <si>
    <t>Giappone</t>
  </si>
  <si>
    <t>일본</t>
  </si>
  <si>
    <t>Japonija</t>
  </si>
  <si>
    <t>Јапонија</t>
  </si>
  <si>
    <t>Ġappun</t>
  </si>
  <si>
    <t>ژاپن</t>
  </si>
  <si>
    <t>Japão</t>
  </si>
  <si>
    <t>Japonska</t>
  </si>
  <si>
    <t>Japón</t>
  </si>
  <si>
    <t>ญี่ปุ่น</t>
  </si>
  <si>
    <t>Japonya</t>
  </si>
  <si>
    <t>Nhật Bản</t>
  </si>
  <si>
    <t>Японія</t>
  </si>
  <si>
    <t>جاپان</t>
  </si>
  <si>
    <t>Belgium</t>
  </si>
  <si>
    <t>Belgjikë</t>
  </si>
  <si>
    <t>بلجيكا</t>
  </si>
  <si>
    <t>Բելգիա</t>
  </si>
  <si>
    <t>Belçika</t>
  </si>
  <si>
    <t>Белгия</t>
  </si>
  <si>
    <t>Bèlgica</t>
  </si>
  <si>
    <t>比利时</t>
  </si>
  <si>
    <t>比利時</t>
  </si>
  <si>
    <t>Belgija</t>
  </si>
  <si>
    <t>Belgie</t>
  </si>
  <si>
    <t>Belgien</t>
  </si>
  <si>
    <t>België</t>
  </si>
  <si>
    <t>Belgia</t>
  </si>
  <si>
    <t>Belgique</t>
  </si>
  <si>
    <t>ბელგიის</t>
  </si>
  <si>
    <t>Βέλγιο</t>
  </si>
  <si>
    <t>בלגיה</t>
  </si>
  <si>
    <t>Belgio</t>
  </si>
  <si>
    <t>벨기에</t>
  </si>
  <si>
    <t>Белгија</t>
  </si>
  <si>
    <t>Belġju</t>
  </si>
  <si>
    <t>بلژیک</t>
  </si>
  <si>
    <t>Bélgica</t>
  </si>
  <si>
    <t>belgicko</t>
  </si>
  <si>
    <t>เบลเยี่ยม</t>
  </si>
  <si>
    <t>Bỉ</t>
  </si>
  <si>
    <t>Бельгія</t>
  </si>
  <si>
    <t>بیلجئیم</t>
  </si>
  <si>
    <t>Canada</t>
  </si>
  <si>
    <t>Kanada</t>
  </si>
  <si>
    <t>كندا</t>
  </si>
  <si>
    <t>Կանադա</t>
  </si>
  <si>
    <t>Канада</t>
  </si>
  <si>
    <t>Canadà</t>
  </si>
  <si>
    <t>加拿大</t>
  </si>
  <si>
    <t>ᲙᲐᲜᲐᲓᲐ</t>
  </si>
  <si>
    <t>Καναδάς</t>
  </si>
  <si>
    <t>קנדה</t>
  </si>
  <si>
    <t>캐나다</t>
  </si>
  <si>
    <t>کانادا</t>
  </si>
  <si>
    <t>Canadá</t>
  </si>
  <si>
    <t>แคนาดา</t>
  </si>
  <si>
    <t>کینیڈا</t>
  </si>
  <si>
    <t>Morocco</t>
  </si>
  <si>
    <t>Marok</t>
  </si>
  <si>
    <t>المغرب</t>
  </si>
  <si>
    <t>սեկ</t>
  </si>
  <si>
    <t>Mərakeş</t>
  </si>
  <si>
    <t>Мароко</t>
  </si>
  <si>
    <t>Marroc</t>
  </si>
  <si>
    <t>摩洛哥</t>
  </si>
  <si>
    <t>Maroko</t>
  </si>
  <si>
    <t>Marokko</t>
  </si>
  <si>
    <t>Maroc</t>
  </si>
  <si>
    <t>მაროკო</t>
  </si>
  <si>
    <t>Μαρόκο</t>
  </si>
  <si>
    <t>מָרוֹקוֹ</t>
  </si>
  <si>
    <t>Marokkó</t>
  </si>
  <si>
    <t>Marocco</t>
  </si>
  <si>
    <t>모로코</t>
  </si>
  <si>
    <t>Marokas</t>
  </si>
  <si>
    <t>Marokk</t>
  </si>
  <si>
    <t>مراکش</t>
  </si>
  <si>
    <t>Marrocos</t>
  </si>
  <si>
    <t>Marruecos</t>
  </si>
  <si>
    <t>Marocko</t>
  </si>
  <si>
    <t>โมร็อกโก</t>
  </si>
  <si>
    <t>Fas</t>
  </si>
  <si>
    <t>Марокко</t>
  </si>
  <si>
    <t>Croatia</t>
  </si>
  <si>
    <t>Kroacia</t>
  </si>
  <si>
    <t>كرواتيا</t>
  </si>
  <si>
    <t>Խորվաթիա</t>
  </si>
  <si>
    <t>Xorvatiya</t>
  </si>
  <si>
    <t>Хърватия</t>
  </si>
  <si>
    <t>Croàcia</t>
  </si>
  <si>
    <t>克罗地亚</t>
  </si>
  <si>
    <t>克羅地亞</t>
  </si>
  <si>
    <t>Hrvatska</t>
  </si>
  <si>
    <t>Chorvatsko</t>
  </si>
  <si>
    <t>Kroatien</t>
  </si>
  <si>
    <t>Kroatië</t>
  </si>
  <si>
    <t>Kroatia</t>
  </si>
  <si>
    <t>Croatie</t>
  </si>
  <si>
    <t>ხორვატია</t>
  </si>
  <si>
    <t>Κροατία</t>
  </si>
  <si>
    <t>קרואטיה</t>
  </si>
  <si>
    <t>Horvátország</t>
  </si>
  <si>
    <t>Kroasia</t>
  </si>
  <si>
    <t>Croazia</t>
  </si>
  <si>
    <t>크로아티아</t>
  </si>
  <si>
    <t>Kroatija</t>
  </si>
  <si>
    <t>Хрватска</t>
  </si>
  <si>
    <t>Kroazja</t>
  </si>
  <si>
    <t>کرواسی</t>
  </si>
  <si>
    <t>Chorwacja</t>
  </si>
  <si>
    <t>Croácia</t>
  </si>
  <si>
    <t>Croația</t>
  </si>
  <si>
    <t>Chorvátsko</t>
  </si>
  <si>
    <t>Hrvaška</t>
  </si>
  <si>
    <t>Croacia</t>
  </si>
  <si>
    <t>โครเอเชีย</t>
  </si>
  <si>
    <t>Hırvatistan</t>
  </si>
  <si>
    <t>Хорватія</t>
  </si>
  <si>
    <t>کروشیا</t>
  </si>
  <si>
    <t>Brazil</t>
  </si>
  <si>
    <t>Brazili</t>
  </si>
  <si>
    <t>البرازيل</t>
  </si>
  <si>
    <t>Բրազիլիա</t>
  </si>
  <si>
    <t>Braziliya</t>
  </si>
  <si>
    <t>Бразилия</t>
  </si>
  <si>
    <t>Brasil</t>
  </si>
  <si>
    <t>巴西</t>
  </si>
  <si>
    <t>Brazílie</t>
  </si>
  <si>
    <t>Brasilien</t>
  </si>
  <si>
    <t>Brazilië</t>
  </si>
  <si>
    <t>Brasilia</t>
  </si>
  <si>
    <t>Brésil</t>
  </si>
  <si>
    <t>ბრაზილია</t>
  </si>
  <si>
    <t>Βραζιλία</t>
  </si>
  <si>
    <t>ברזיל</t>
  </si>
  <si>
    <t>Brazília</t>
  </si>
  <si>
    <t>Brasilía</t>
  </si>
  <si>
    <t>Brasile</t>
  </si>
  <si>
    <t>브라질</t>
  </si>
  <si>
    <t>Brazilija</t>
  </si>
  <si>
    <t>Бразил</t>
  </si>
  <si>
    <t>Brażil</t>
  </si>
  <si>
    <t>برزیل</t>
  </si>
  <si>
    <t>Brazylia</t>
  </si>
  <si>
    <t>Brazilia</t>
  </si>
  <si>
    <t>บราซิล</t>
  </si>
  <si>
    <t>Brezilya</t>
  </si>
  <si>
    <t>B-ra-xin</t>
  </si>
  <si>
    <t>Бразилія</t>
  </si>
  <si>
    <t>برازیل</t>
  </si>
  <si>
    <t>Serbia</t>
  </si>
  <si>
    <t>صربيا</t>
  </si>
  <si>
    <t>Սերբիա</t>
  </si>
  <si>
    <t>Serbiya</t>
  </si>
  <si>
    <t>Сърбия</t>
  </si>
  <si>
    <t>Sèrbia</t>
  </si>
  <si>
    <t>塞尔维亚</t>
  </si>
  <si>
    <t>塞爾維亞</t>
  </si>
  <si>
    <t>Srbija</t>
  </si>
  <si>
    <t>Srbsko</t>
  </si>
  <si>
    <t>Serbien</t>
  </si>
  <si>
    <t>Servië</t>
  </si>
  <si>
    <t>Serbie</t>
  </si>
  <si>
    <t>სერბეთი</t>
  </si>
  <si>
    <t>Σερβία</t>
  </si>
  <si>
    <t>סרביה</t>
  </si>
  <si>
    <t>Szerbia</t>
  </si>
  <si>
    <t>Serbía</t>
  </si>
  <si>
    <t>세르비아</t>
  </si>
  <si>
    <t>Serbija</t>
  </si>
  <si>
    <t>Србија</t>
  </si>
  <si>
    <t>Serbja</t>
  </si>
  <si>
    <t>صربستان</t>
  </si>
  <si>
    <t>Sérvia</t>
  </si>
  <si>
    <t>เซอร์เบีย</t>
  </si>
  <si>
    <t>Sırbistan</t>
  </si>
  <si>
    <t>Сербія</t>
  </si>
  <si>
    <t>سربیا</t>
  </si>
  <si>
    <t>Switzerland</t>
  </si>
  <si>
    <t>Zvicër</t>
  </si>
  <si>
    <t>سويسرا</t>
  </si>
  <si>
    <t>Շվեյցարիա</t>
  </si>
  <si>
    <t>İsveçrə</t>
  </si>
  <si>
    <t>Швейцария</t>
  </si>
  <si>
    <t>Suïssa</t>
  </si>
  <si>
    <t>瑞士</t>
  </si>
  <si>
    <t>Švajcarska</t>
  </si>
  <si>
    <t>Švýcarsko</t>
  </si>
  <si>
    <t>Schweiz</t>
  </si>
  <si>
    <t>Zwitserland</t>
  </si>
  <si>
    <t>Sveis</t>
  </si>
  <si>
    <t>Suisse</t>
  </si>
  <si>
    <t>Ελβετία</t>
  </si>
  <si>
    <t>שוויץ</t>
  </si>
  <si>
    <t>Svájc</t>
  </si>
  <si>
    <t>Swiss</t>
  </si>
  <si>
    <t>Sviss</t>
  </si>
  <si>
    <t>Svizzera</t>
  </si>
  <si>
    <t>스위스</t>
  </si>
  <si>
    <t>Šveicarija</t>
  </si>
  <si>
    <t>Швајцарија</t>
  </si>
  <si>
    <t>Isvizzera</t>
  </si>
  <si>
    <t>Sveits</t>
  </si>
  <si>
    <t>سویس</t>
  </si>
  <si>
    <t>Szwajcaria</t>
  </si>
  <si>
    <t>Suíça</t>
  </si>
  <si>
    <t>Elveția</t>
  </si>
  <si>
    <t>Швајцарска</t>
  </si>
  <si>
    <t>švajčiarsko</t>
  </si>
  <si>
    <t>Švica</t>
  </si>
  <si>
    <t>Suiza</t>
  </si>
  <si>
    <t>ประเทศสวิสเซอร์แลนด์</t>
  </si>
  <si>
    <t>İsviçre</t>
  </si>
  <si>
    <t>Thụy Sĩ</t>
  </si>
  <si>
    <t>Швейцарія</t>
  </si>
  <si>
    <t>سوئٹزرلینڈ</t>
  </si>
  <si>
    <t>Cameroon</t>
  </si>
  <si>
    <t>Kamerun</t>
  </si>
  <si>
    <t>الكاميرون</t>
  </si>
  <si>
    <t>Կակերուհի</t>
  </si>
  <si>
    <t>Kameron</t>
  </si>
  <si>
    <t>Камерун</t>
  </si>
  <si>
    <t>Camerun</t>
  </si>
  <si>
    <t>喀麦隆</t>
  </si>
  <si>
    <t>喀麥隆</t>
  </si>
  <si>
    <t>Kameroen</t>
  </si>
  <si>
    <t>Cameroun</t>
  </si>
  <si>
    <t>ᲙᲐᲛᲔᲠᲣᲜᲘ</t>
  </si>
  <si>
    <t>Καμερούν</t>
  </si>
  <si>
    <t>קמרון</t>
  </si>
  <si>
    <t>Kamerún</t>
  </si>
  <si>
    <t>카메룬</t>
  </si>
  <si>
    <t>Kamerūnas</t>
  </si>
  <si>
    <t>کامرون</t>
  </si>
  <si>
    <t>Camarões</t>
  </si>
  <si>
    <t>Camerún</t>
  </si>
  <si>
    <t>แคเมอรูน</t>
  </si>
  <si>
    <t>کیمرون</t>
  </si>
  <si>
    <t>Portugal</t>
  </si>
  <si>
    <t>Portugali</t>
  </si>
  <si>
    <t>البرتغال</t>
  </si>
  <si>
    <t>Պորտուգալիա</t>
  </si>
  <si>
    <t>Portuqaliya</t>
  </si>
  <si>
    <t>Португалия</t>
  </si>
  <si>
    <t>葡萄牙</t>
  </si>
  <si>
    <t>Portugalija</t>
  </si>
  <si>
    <t>Portugalsko</t>
  </si>
  <si>
    <t>პორტუგალიის</t>
  </si>
  <si>
    <t>Πορτογαλία</t>
  </si>
  <si>
    <t>פורטוגל</t>
  </si>
  <si>
    <t>Portugália</t>
  </si>
  <si>
    <t>Portogallo</t>
  </si>
  <si>
    <t>포르투갈</t>
  </si>
  <si>
    <t>Португалија</t>
  </si>
  <si>
    <t>Portugall</t>
  </si>
  <si>
    <t>پرتغال</t>
  </si>
  <si>
    <t>Portugalia</t>
  </si>
  <si>
    <t>Portugalska</t>
  </si>
  <si>
    <t>โปรตุเกส</t>
  </si>
  <si>
    <t>Portekiz</t>
  </si>
  <si>
    <t>Bồ Đào Nha</t>
  </si>
  <si>
    <t>Португалія</t>
  </si>
  <si>
    <t>پرتگال</t>
  </si>
  <si>
    <t>Ghana</t>
  </si>
  <si>
    <t>Ghanë</t>
  </si>
  <si>
    <t>غانا</t>
  </si>
  <si>
    <t>Գանա</t>
  </si>
  <si>
    <t>Qana</t>
  </si>
  <si>
    <t>Гана</t>
  </si>
  <si>
    <t>加纳</t>
  </si>
  <si>
    <t>加納</t>
  </si>
  <si>
    <t>Gana</t>
  </si>
  <si>
    <t>ᲒᲐᲜᲐᲜᲐ</t>
  </si>
  <si>
    <t>Γκάνα</t>
  </si>
  <si>
    <t>גאנה</t>
  </si>
  <si>
    <t>Ghána</t>
  </si>
  <si>
    <t>가나</t>
  </si>
  <si>
    <t>غنا</t>
  </si>
  <si>
    <t>ประเทศกานา</t>
  </si>
  <si>
    <t>گھانا</t>
  </si>
  <si>
    <t>Uruguay</t>
  </si>
  <si>
    <t>أوروغواي</t>
  </si>
  <si>
    <t>Ուրուգվայ</t>
  </si>
  <si>
    <t>Uruqvay</t>
  </si>
  <si>
    <t>Уругвай</t>
  </si>
  <si>
    <t>Uruguai</t>
  </si>
  <si>
    <t>乌拉圭</t>
  </si>
  <si>
    <t>烏拉圭</t>
  </si>
  <si>
    <t>Urugvaj</t>
  </si>
  <si>
    <t>ურუგვაის</t>
  </si>
  <si>
    <t>Ουρουγουάη</t>
  </si>
  <si>
    <t>אורוגוואי</t>
  </si>
  <si>
    <t>우루과이</t>
  </si>
  <si>
    <t>Urugvajus</t>
  </si>
  <si>
    <t>Уругвај</t>
  </si>
  <si>
    <t>Urugwaj</t>
  </si>
  <si>
    <t>اروگوئه</t>
  </si>
  <si>
    <t>Uruguaj</t>
  </si>
  <si>
    <t>ประเทศอุรุกวัย</t>
  </si>
  <si>
    <t>یوراگوئے</t>
  </si>
  <si>
    <t>Korea Republic</t>
  </si>
  <si>
    <t>جمهورية كوريا</t>
  </si>
  <si>
    <t>Կորեայի Հանրապետություն</t>
  </si>
  <si>
    <t>Koreya Respublikası</t>
  </si>
  <si>
    <t>Република Корея</t>
  </si>
  <si>
    <t>República de Corea</t>
  </si>
  <si>
    <t>韩国</t>
  </si>
  <si>
    <t>韓國</t>
  </si>
  <si>
    <t>Južna Koreja</t>
  </si>
  <si>
    <t>Jižní Korea</t>
  </si>
  <si>
    <t>Sydkorea</t>
  </si>
  <si>
    <t>Zuid-Korea</t>
  </si>
  <si>
    <t>Suðurkorea</t>
  </si>
  <si>
    <t>République de Corée</t>
  </si>
  <si>
    <t>კორეის რესპუბლიკა</t>
  </si>
  <si>
    <t>Korea Republik</t>
  </si>
  <si>
    <t>Δημοκρατία της Κορέας</t>
  </si>
  <si>
    <t>קוריאה רפובליקה</t>
  </si>
  <si>
    <t>Dél-Korea</t>
  </si>
  <si>
    <t>Republik Korea</t>
  </si>
  <si>
    <t>Kórea</t>
  </si>
  <si>
    <t>Corea del Sud</t>
  </si>
  <si>
    <t>한국</t>
  </si>
  <si>
    <t>Korėjos Respublika</t>
  </si>
  <si>
    <t>Јужна Кореја</t>
  </si>
  <si>
    <t>Korea Repubblika</t>
  </si>
  <si>
    <t>Sør-Korea</t>
  </si>
  <si>
    <t>کره جنوبی</t>
  </si>
  <si>
    <t>Korea Południowa</t>
  </si>
  <si>
    <t>República da Coreia</t>
  </si>
  <si>
    <t>Coreea de Sud</t>
  </si>
  <si>
    <t>Република Кореја</t>
  </si>
  <si>
    <t>Južná Kórea</t>
  </si>
  <si>
    <t>เกาหลีใต้</t>
  </si>
  <si>
    <t>Kore Cumhuriyeti</t>
  </si>
  <si>
    <t>Hàn Quốc</t>
  </si>
  <si>
    <t>Південна Корея</t>
  </si>
  <si>
    <t>جمہوریہ کوریا</t>
  </si>
  <si>
    <t>South Africa</t>
  </si>
  <si>
    <t>Afrika e Jugut</t>
  </si>
  <si>
    <t>جنوب أفريقيا</t>
  </si>
  <si>
    <t>Հարավային Աֆրիկա</t>
  </si>
  <si>
    <t>Cənubi Afrika</t>
  </si>
  <si>
    <t>Южна Африка</t>
  </si>
  <si>
    <t>Sud-àfrica</t>
  </si>
  <si>
    <t>南非</t>
  </si>
  <si>
    <t>Južna Afrika</t>
  </si>
  <si>
    <t>Jižní Afrika</t>
  </si>
  <si>
    <t>Sydafrika</t>
  </si>
  <si>
    <t>Zuid-Afrika</t>
  </si>
  <si>
    <t>Afrique du Sud</t>
  </si>
  <si>
    <t>სამხრეთ აფრიკა</t>
  </si>
  <si>
    <t>Südafrika</t>
  </si>
  <si>
    <t>Νότια Αφρική</t>
  </si>
  <si>
    <t>דרום אפריקה</t>
  </si>
  <si>
    <t>Dél-Afrika</t>
  </si>
  <si>
    <t>Afrika Selatan</t>
  </si>
  <si>
    <t>Suður-Afríka</t>
  </si>
  <si>
    <t>Sudafrica</t>
  </si>
  <si>
    <t>남아프리카공화국</t>
  </si>
  <si>
    <t>Pietų Afrika</t>
  </si>
  <si>
    <t>Јужна Африка</t>
  </si>
  <si>
    <t>l-Afrika t'Isfel</t>
  </si>
  <si>
    <t>Sør-Afrika</t>
  </si>
  <si>
    <t>آفریقای جنوبی</t>
  </si>
  <si>
    <t>Republika Południowej Afryki</t>
  </si>
  <si>
    <t>África do Sul</t>
  </si>
  <si>
    <t>Africa de Sud</t>
  </si>
  <si>
    <t>Južná Afrika</t>
  </si>
  <si>
    <t>Sudáfrica</t>
  </si>
  <si>
    <t>แอฟริกาใต้</t>
  </si>
  <si>
    <t>Güney Afrika</t>
  </si>
  <si>
    <t>Nam Phi</t>
  </si>
  <si>
    <t>Південна Африка</t>
  </si>
  <si>
    <t>جنوبی افریقہ</t>
  </si>
  <si>
    <t>Bosnia and Herzegovina</t>
  </si>
  <si>
    <t>Bosnjë dhe Hercegovinë</t>
  </si>
  <si>
    <t>البوسنة والهرسك</t>
  </si>
  <si>
    <t>Բոսնիա և Հերցեգովինա</t>
  </si>
  <si>
    <t>Bosniya və Herseqovina</t>
  </si>
  <si>
    <t>Босна и Херцеговина</t>
  </si>
  <si>
    <t>Bòsnia i Hercegovina</t>
  </si>
  <si>
    <t>波斯尼亚和黑塞哥维那</t>
  </si>
  <si>
    <t>波士尼亞與赫塞哥維納</t>
  </si>
  <si>
    <t>Bosna i Hercegovina</t>
  </si>
  <si>
    <t>Bosna a Hercegovina</t>
  </si>
  <si>
    <t>Bosnien-Hercegovina</t>
  </si>
  <si>
    <t>Bosnië en Herzegovina</t>
  </si>
  <si>
    <t>Bosnie-Herzégovine</t>
  </si>
  <si>
    <t>ბოსნია და ჰერცეგოვინა</t>
  </si>
  <si>
    <t>Bosnien und Herzegowina</t>
  </si>
  <si>
    <t>Βοσνία και Ερζεγοβίνη</t>
  </si>
  <si>
    <t>בוסניה והרצגובינה</t>
  </si>
  <si>
    <t>Bosznia-Hercegovina</t>
  </si>
  <si>
    <t>Bosnia dan Herzegovina</t>
  </si>
  <si>
    <t>Bosnía og Hersegóvína</t>
  </si>
  <si>
    <t>Bosnia ed Erzegovina</t>
  </si>
  <si>
    <t>보스니아 헤르체고비나</t>
  </si>
  <si>
    <t>Bosnija ir Hercegovina</t>
  </si>
  <si>
    <t>il-Bożnija-Ħerzegovina</t>
  </si>
  <si>
    <t>Bosnia-Hercegovina</t>
  </si>
  <si>
    <t>بوسنی و هرزگوین</t>
  </si>
  <si>
    <t>Bośnia i Hercegowina</t>
  </si>
  <si>
    <t>Bósnia e Herzegovina</t>
  </si>
  <si>
    <t>Bosnia și Herțegovina</t>
  </si>
  <si>
    <t>Bosna in Hercegovina</t>
  </si>
  <si>
    <t>Bosnia y Herzegovina</t>
  </si>
  <si>
    <t>Bosnien och Hercegovina</t>
  </si>
  <si>
    <t>บอสเนียและเฮอร์เซโกวีนา</t>
  </si>
  <si>
    <t>Bosna Hersek</t>
  </si>
  <si>
    <t>Bosnia và Herzegovina</t>
  </si>
  <si>
    <t>Боснія і Герцеговина</t>
  </si>
  <si>
    <t>بوسنیا اور ہرزیگووینا</t>
  </si>
  <si>
    <t>Czech Republic</t>
  </si>
  <si>
    <t>Republika Çeke</t>
  </si>
  <si>
    <t>الجمهورية التشيكية</t>
  </si>
  <si>
    <t>Չեխիայի Հանրապետություն</t>
  </si>
  <si>
    <t>Çexiya</t>
  </si>
  <si>
    <t>Чехия</t>
  </si>
  <si>
    <t>República Txeca</t>
  </si>
  <si>
    <t>捷克共和国</t>
  </si>
  <si>
    <t>捷克共和國</t>
  </si>
  <si>
    <t>Češka</t>
  </si>
  <si>
    <t>Česká republika</t>
  </si>
  <si>
    <t>Tjekkiet</t>
  </si>
  <si>
    <t>Tsjechische Republiek</t>
  </si>
  <si>
    <t>République tchèque</t>
  </si>
  <si>
    <t>ჩეხეთის რესპუბლიკა</t>
  </si>
  <si>
    <t>Tschechische Republik</t>
  </si>
  <si>
    <t>Τσεχική Δημοκρατία</t>
  </si>
  <si>
    <t>צ'כיה</t>
  </si>
  <si>
    <t>Cseh Köztársaság</t>
  </si>
  <si>
    <t>Republik Ceko</t>
  </si>
  <si>
    <t>Tékkland</t>
  </si>
  <si>
    <t>Repubblica Ceca</t>
  </si>
  <si>
    <t>체코 공화국</t>
  </si>
  <si>
    <t>Čekijos Respublika</t>
  </si>
  <si>
    <t>Чешка Република</t>
  </si>
  <si>
    <t>Repubblika Ċeka</t>
  </si>
  <si>
    <t>Tsjekkia</t>
  </si>
  <si>
    <t>جمهوری چک</t>
  </si>
  <si>
    <t>Czechy</t>
  </si>
  <si>
    <t>República Tcheca</t>
  </si>
  <si>
    <t>Republica Cehă</t>
  </si>
  <si>
    <t>Češka republika</t>
  </si>
  <si>
    <t>República Checa</t>
  </si>
  <si>
    <t>Tjeckien</t>
  </si>
  <si>
    <t>สาธารณรัฐเช็ก</t>
  </si>
  <si>
    <t>Çek Cumhuriyeti</t>
  </si>
  <si>
    <t>Cộng hòa Séc</t>
  </si>
  <si>
    <t>Чеська Республіка</t>
  </si>
  <si>
    <t>جمہوریہ چیک</t>
  </si>
  <si>
    <t>Haiti</t>
  </si>
  <si>
    <t>هايتي</t>
  </si>
  <si>
    <t>Հայիթի</t>
  </si>
  <si>
    <t>Хаити</t>
  </si>
  <si>
    <t>Haití</t>
  </si>
  <si>
    <t>海地</t>
  </si>
  <si>
    <t>Haïti</t>
  </si>
  <si>
    <t>ჰაიტი</t>
  </si>
  <si>
    <t>Αΐτη</t>
  </si>
  <si>
    <t>האיטי</t>
  </si>
  <si>
    <t>Haítí</t>
  </si>
  <si>
    <t>아이티</t>
  </si>
  <si>
    <t>Haitis</t>
  </si>
  <si>
    <t>Ħaiti</t>
  </si>
  <si>
    <t>هائیتی</t>
  </si>
  <si>
    <t>เฮติ</t>
  </si>
  <si>
    <t>Гаїті</t>
  </si>
  <si>
    <t>ہیٹی</t>
  </si>
  <si>
    <t>Scotland</t>
  </si>
  <si>
    <t>Skoci</t>
  </si>
  <si>
    <t>اسكتلندا</t>
  </si>
  <si>
    <t>Շոտլանդիա</t>
  </si>
  <si>
    <t>Şotlandiya</t>
  </si>
  <si>
    <t>Шотландия</t>
  </si>
  <si>
    <t>Escòcia</t>
  </si>
  <si>
    <t>苏格兰</t>
  </si>
  <si>
    <t>蘇格蘭</t>
  </si>
  <si>
    <t>Škotska</t>
  </si>
  <si>
    <t>Skotsko</t>
  </si>
  <si>
    <t>Skotland</t>
  </si>
  <si>
    <t>Schotland</t>
  </si>
  <si>
    <t>Écosse</t>
  </si>
  <si>
    <t>შოტლანდია</t>
  </si>
  <si>
    <t>Schottland</t>
  </si>
  <si>
    <t>Σκωτία</t>
  </si>
  <si>
    <t>סקוטלנד</t>
  </si>
  <si>
    <t>Skócia</t>
  </si>
  <si>
    <t>Skotlandia</t>
  </si>
  <si>
    <t>Scozia</t>
  </si>
  <si>
    <t>스코틀랜드</t>
  </si>
  <si>
    <t>Škotija</t>
  </si>
  <si>
    <t>Шкотска</t>
  </si>
  <si>
    <t>l-Iskozja</t>
  </si>
  <si>
    <t>Skottland</t>
  </si>
  <si>
    <t>اسکاتلند</t>
  </si>
  <si>
    <t>Szkocja</t>
  </si>
  <si>
    <t>Escócia</t>
  </si>
  <si>
    <t>Scoţia</t>
  </si>
  <si>
    <t>Škótsko</t>
  </si>
  <si>
    <t>Escocia</t>
  </si>
  <si>
    <t>สกอตแลนด์</t>
  </si>
  <si>
    <t>İskoçya</t>
  </si>
  <si>
    <t>Шотландія</t>
  </si>
  <si>
    <t>سکاٹ لینڈ</t>
  </si>
  <si>
    <t>Paraguay</t>
  </si>
  <si>
    <t>Paraguai</t>
  </si>
  <si>
    <t>باراغواي</t>
  </si>
  <si>
    <t>Պարագվայ</t>
  </si>
  <si>
    <t>Paraqvay</t>
  </si>
  <si>
    <t>Парагвай</t>
  </si>
  <si>
    <t>巴拉圭</t>
  </si>
  <si>
    <t>Paragvaj</t>
  </si>
  <si>
    <t>პარაგვაი</t>
  </si>
  <si>
    <t>Παραγουάη</t>
  </si>
  <si>
    <t>פרגוואי</t>
  </si>
  <si>
    <t>Paragvæ</t>
  </si>
  <si>
    <t>파라과이</t>
  </si>
  <si>
    <t>Paragvajus</t>
  </si>
  <si>
    <t>Парагвај</t>
  </si>
  <si>
    <t>Paragwaj</t>
  </si>
  <si>
    <t>پاراگوئه</t>
  </si>
  <si>
    <t>Paraguaj</t>
  </si>
  <si>
    <t>ปารากวัย</t>
  </si>
  <si>
    <t>پیراگوئے</t>
  </si>
  <si>
    <t>Turkey</t>
  </si>
  <si>
    <t>Turqi</t>
  </si>
  <si>
    <t>تركيا</t>
  </si>
  <si>
    <t>Թուրքիա</t>
  </si>
  <si>
    <t>Türkiyə</t>
  </si>
  <si>
    <t>Турция</t>
  </si>
  <si>
    <t>Turquia</t>
  </si>
  <si>
    <t>土耳其</t>
  </si>
  <si>
    <t>Turska</t>
  </si>
  <si>
    <t>Turecko</t>
  </si>
  <si>
    <t>Tyrkiet</t>
  </si>
  <si>
    <t>Turkije</t>
  </si>
  <si>
    <t>Turquie</t>
  </si>
  <si>
    <t>თურქეთი</t>
  </si>
  <si>
    <t>Türkei</t>
  </si>
  <si>
    <t>Τουρκία</t>
  </si>
  <si>
    <t>טורקיה</t>
  </si>
  <si>
    <t>Törökország</t>
  </si>
  <si>
    <t>Turki</t>
  </si>
  <si>
    <t>Tyrkland</t>
  </si>
  <si>
    <t>Turchia</t>
  </si>
  <si>
    <t>터키</t>
  </si>
  <si>
    <t>Turkija</t>
  </si>
  <si>
    <t>Турција</t>
  </si>
  <si>
    <t>Tyrkia</t>
  </si>
  <si>
    <t>ترکیه</t>
  </si>
  <si>
    <t>Turcja</t>
  </si>
  <si>
    <t>Turcia</t>
  </si>
  <si>
    <t>Турска</t>
  </si>
  <si>
    <t>Turčija</t>
  </si>
  <si>
    <t>Turquía</t>
  </si>
  <si>
    <t>Turkiet</t>
  </si>
  <si>
    <t>ตุรกี</t>
  </si>
  <si>
    <t>Türkiye</t>
  </si>
  <si>
    <t>Thổ Nhĩ Kỳ</t>
  </si>
  <si>
    <t>Туреччина</t>
  </si>
  <si>
    <t>ترکی</t>
  </si>
  <si>
    <t>Curaçao</t>
  </si>
  <si>
    <t>Kurasao</t>
  </si>
  <si>
    <t>كوراساو</t>
  </si>
  <si>
    <t>Կյուրասաո</t>
  </si>
  <si>
    <t>Kürəsao</t>
  </si>
  <si>
    <t>Кюрасао</t>
  </si>
  <si>
    <t>库拉索</t>
  </si>
  <si>
    <t>庫拉索</t>
  </si>
  <si>
    <t>Curacao</t>
  </si>
  <si>
    <t>კიურასაო</t>
  </si>
  <si>
    <t>Κουράσω</t>
  </si>
  <si>
    <t>קוראסאו</t>
  </si>
  <si>
    <t>퀴라소</t>
  </si>
  <si>
    <t>Kiurasao</t>
  </si>
  <si>
    <t>Курасао</t>
  </si>
  <si>
    <t>کوراسائو</t>
  </si>
  <si>
    <t>Curazao</t>
  </si>
  <si>
    <t>คูราเซา</t>
  </si>
  <si>
    <t>Ivory Coast</t>
  </si>
  <si>
    <t>Bregu i Fildishtë</t>
  </si>
  <si>
    <t>ساحل العاج</t>
  </si>
  <si>
    <t>Կոտ դ'Իվուար</t>
  </si>
  <si>
    <t>Fil Dişi Sahili</t>
  </si>
  <si>
    <t>Кот д'Ивоар</t>
  </si>
  <si>
    <t>Costa d'Ivori</t>
  </si>
  <si>
    <t>科特迪瓦</t>
  </si>
  <si>
    <t>Obala Bjelokosti</t>
  </si>
  <si>
    <t>Pobřeží slonoviny</t>
  </si>
  <si>
    <t>Elfenbenskysten</t>
  </si>
  <si>
    <t>Ivoorkust</t>
  </si>
  <si>
    <t>Côte d'Ivoire</t>
  </si>
  <si>
    <t>კოტ-დ’ივუარი</t>
  </si>
  <si>
    <t>Elfenbeinküste</t>
  </si>
  <si>
    <t>Ακτή Ελεφαντοστού</t>
  </si>
  <si>
    <t>חוף השנהב</t>
  </si>
  <si>
    <t>Elefántcsontpart</t>
  </si>
  <si>
    <t>Pantai Gading</t>
  </si>
  <si>
    <t>Fílabeinsströndin</t>
  </si>
  <si>
    <t>Costa d'Avorio</t>
  </si>
  <si>
    <t>상아 해안</t>
  </si>
  <si>
    <t>Dramblio Kaulo Krantas</t>
  </si>
  <si>
    <t>Брегот на Слоновата Коска</t>
  </si>
  <si>
    <t>Kosta tal-Avorju</t>
  </si>
  <si>
    <t>ساحل عاج</t>
  </si>
  <si>
    <t>Wybrzeże Kości Słoniowej</t>
  </si>
  <si>
    <t>Costa do Marfim</t>
  </si>
  <si>
    <t>Coasta de Fildeș</t>
  </si>
  <si>
    <t>Обала Слоноваче</t>
  </si>
  <si>
    <t>Pobrežie Slonoviny</t>
  </si>
  <si>
    <t>Slonokoščena obala</t>
  </si>
  <si>
    <t>Costa de Marfil</t>
  </si>
  <si>
    <t>Elfenbenskusten</t>
  </si>
  <si>
    <t>ไอวอรี่โคสต์</t>
  </si>
  <si>
    <t>Fildişi Sahili</t>
  </si>
  <si>
    <t>Bờ Biển Ngà</t>
  </si>
  <si>
    <t>Кот-д'Івуар</t>
  </si>
  <si>
    <t>آئیوری کوسٹ</t>
  </si>
  <si>
    <t>Sweden</t>
  </si>
  <si>
    <t>Suedi</t>
  </si>
  <si>
    <t>السويد</t>
  </si>
  <si>
    <t>Շվեդիա</t>
  </si>
  <si>
    <t>İsveç</t>
  </si>
  <si>
    <t>Швеция</t>
  </si>
  <si>
    <t>Suècia</t>
  </si>
  <si>
    <t>瑞典</t>
  </si>
  <si>
    <t>Švedska</t>
  </si>
  <si>
    <t>Švédsko</t>
  </si>
  <si>
    <t>Sverige</t>
  </si>
  <si>
    <t>Zweden</t>
  </si>
  <si>
    <t>Suède</t>
  </si>
  <si>
    <t>შვედეთი</t>
  </si>
  <si>
    <t>Schweden</t>
  </si>
  <si>
    <t>Σουηδία</t>
  </si>
  <si>
    <t>שבדיה</t>
  </si>
  <si>
    <t>Svédország</t>
  </si>
  <si>
    <t>Swedia</t>
  </si>
  <si>
    <t>Svíþjóð</t>
  </si>
  <si>
    <t>Svezia</t>
  </si>
  <si>
    <t>스웨덴</t>
  </si>
  <si>
    <t>Švedija</t>
  </si>
  <si>
    <t>Шведска</t>
  </si>
  <si>
    <t>l-Iżvezja</t>
  </si>
  <si>
    <t>سوئد</t>
  </si>
  <si>
    <t>Szwecja</t>
  </si>
  <si>
    <t>Suécia</t>
  </si>
  <si>
    <t>Suedia</t>
  </si>
  <si>
    <t>Suecia</t>
  </si>
  <si>
    <t>สวีเดน</t>
  </si>
  <si>
    <t>Thụy Điển</t>
  </si>
  <si>
    <t>Швеція</t>
  </si>
  <si>
    <t>سویڈن</t>
  </si>
  <si>
    <t>Egypt</t>
  </si>
  <si>
    <t>Egjipti</t>
  </si>
  <si>
    <t>مصر</t>
  </si>
  <si>
    <t>Եգիպտոս</t>
  </si>
  <si>
    <t>Misir</t>
  </si>
  <si>
    <t>Египет</t>
  </si>
  <si>
    <t>Egipte</t>
  </si>
  <si>
    <t>埃及</t>
  </si>
  <si>
    <t>Egipat</t>
  </si>
  <si>
    <t>Egypten</t>
  </si>
  <si>
    <t>Egypte</t>
  </si>
  <si>
    <t>ეგვიპტე</t>
  </si>
  <si>
    <t>Ägypten</t>
  </si>
  <si>
    <t>Αίγυπτος</t>
  </si>
  <si>
    <t>מִצְרַיִם</t>
  </si>
  <si>
    <t>Egyiptom</t>
  </si>
  <si>
    <t>Mesir</t>
  </si>
  <si>
    <t>Egyptaland</t>
  </si>
  <si>
    <t>Egitto</t>
  </si>
  <si>
    <t>이집트</t>
  </si>
  <si>
    <t>Egiptas</t>
  </si>
  <si>
    <t>l-Eġittu</t>
  </si>
  <si>
    <t>Egipt</t>
  </si>
  <si>
    <t>Egito</t>
  </si>
  <si>
    <t>Египат</t>
  </si>
  <si>
    <t>Egipto</t>
  </si>
  <si>
    <t>อียิปต์</t>
  </si>
  <si>
    <t>Mısır</t>
  </si>
  <si>
    <t>Ai Cập</t>
  </si>
  <si>
    <t>Єгипет</t>
  </si>
  <si>
    <t>New Zealand</t>
  </si>
  <si>
    <t>Zelanda e Re</t>
  </si>
  <si>
    <t>نيوزيلندا</t>
  </si>
  <si>
    <t>Նոր Զելանդիա</t>
  </si>
  <si>
    <t>Yeni Zelandiya</t>
  </si>
  <si>
    <t>Нова Зеландия</t>
  </si>
  <si>
    <t>Nova Zelanda</t>
  </si>
  <si>
    <t>新西兰</t>
  </si>
  <si>
    <t>紐西蘭</t>
  </si>
  <si>
    <t>Novi Zeland</t>
  </si>
  <si>
    <t>Nový Zéland</t>
  </si>
  <si>
    <t>Nieuw-Zeeland</t>
  </si>
  <si>
    <t>Nouvelle-Zélande</t>
  </si>
  <si>
    <t>ახალი ზელანდია</t>
  </si>
  <si>
    <t>Neuseeland</t>
  </si>
  <si>
    <t>Νέα Ζηλανδία</t>
  </si>
  <si>
    <t>ניו זילנד</t>
  </si>
  <si>
    <t>Új-Zéland</t>
  </si>
  <si>
    <t>Selandia Baru</t>
  </si>
  <si>
    <t>Nýja-Sjáland</t>
  </si>
  <si>
    <t>Nuova Zelanda</t>
  </si>
  <si>
    <t>뉴질랜드</t>
  </si>
  <si>
    <t>Naujoji Zelandija</t>
  </si>
  <si>
    <t>Нов Зеланд</t>
  </si>
  <si>
    <t>نیوزیلند</t>
  </si>
  <si>
    <t>Nowa Zelandia</t>
  </si>
  <si>
    <t>Nova Zelândia</t>
  </si>
  <si>
    <t>Noua Zeelandă</t>
  </si>
  <si>
    <t>Нови Зеланд</t>
  </si>
  <si>
    <t>Nova Zelandija</t>
  </si>
  <si>
    <t>Nueva Zelanda</t>
  </si>
  <si>
    <t>Nya Zeeland</t>
  </si>
  <si>
    <t>นิวซีแลนด์</t>
  </si>
  <si>
    <t>Yeni Zelanda</t>
  </si>
  <si>
    <t>Нова Зеландія</t>
  </si>
  <si>
    <t>نیوزی لینڈ</t>
  </si>
  <si>
    <t>Cape Verde</t>
  </si>
  <si>
    <t>Kepi ​​i Gjelbër</t>
  </si>
  <si>
    <t>الرأس الأخضر</t>
  </si>
  <si>
    <t>Կաբո Վերդե</t>
  </si>
  <si>
    <t>Kabo-Verde</t>
  </si>
  <si>
    <t>Кабо Верде</t>
  </si>
  <si>
    <t>Cap Verd</t>
  </si>
  <si>
    <t>佛得角</t>
  </si>
  <si>
    <t>維德角</t>
  </si>
  <si>
    <t>Zelenortski Otoci</t>
  </si>
  <si>
    <t>Kapverdy</t>
  </si>
  <si>
    <t>Kap Verde</t>
  </si>
  <si>
    <t>Kaapverdië</t>
  </si>
  <si>
    <t>Cap-Vert</t>
  </si>
  <si>
    <t>კაბო-ვერდე</t>
  </si>
  <si>
    <t>Πράσινο Ακρωτήριο</t>
  </si>
  <si>
    <t>כף ורדה</t>
  </si>
  <si>
    <t>Zöld-foki Köztársaság</t>
  </si>
  <si>
    <t>Tanjung Verde</t>
  </si>
  <si>
    <t>Grænhöfðaeyjar</t>
  </si>
  <si>
    <t>Capo Verde</t>
  </si>
  <si>
    <t>카보베르데</t>
  </si>
  <si>
    <t>Žaliasis Kyšulys</t>
  </si>
  <si>
    <t>Зелен ’Рт</t>
  </si>
  <si>
    <t>Kapp Verde</t>
  </si>
  <si>
    <t>کیپ ورد</t>
  </si>
  <si>
    <t>Republika Zielonego Przylądka</t>
  </si>
  <si>
    <t>Cabo Verde</t>
  </si>
  <si>
    <t>Capul Verde</t>
  </si>
  <si>
    <t>Зеленортска Острва</t>
  </si>
  <si>
    <t>Zelenortski otoki</t>
  </si>
  <si>
    <t>เคปเวอร์เด</t>
  </si>
  <si>
    <t>Yeşil Burun Adaları</t>
  </si>
  <si>
    <t>Кабо-Верде</t>
  </si>
  <si>
    <t>کیپ وردے</t>
  </si>
  <si>
    <t>Iraq</t>
  </si>
  <si>
    <t>Iraku</t>
  </si>
  <si>
    <t>العراق</t>
  </si>
  <si>
    <t>Իրաք</t>
  </si>
  <si>
    <t>İraq</t>
  </si>
  <si>
    <t>Ирак</t>
  </si>
  <si>
    <t>伊拉克</t>
  </si>
  <si>
    <t>Irak</t>
  </si>
  <si>
    <t>Irák</t>
  </si>
  <si>
    <t>ერაყი</t>
  </si>
  <si>
    <t>Ιράκ</t>
  </si>
  <si>
    <t>עִירַאק</t>
  </si>
  <si>
    <t>Írak</t>
  </si>
  <si>
    <t>이라크</t>
  </si>
  <si>
    <t>Irakas</t>
  </si>
  <si>
    <t>l-Iraq</t>
  </si>
  <si>
    <t>عراق</t>
  </si>
  <si>
    <t>Iraque</t>
  </si>
  <si>
    <t>อิรัก</t>
  </si>
  <si>
    <t>Ірак</t>
  </si>
  <si>
    <t>Norway</t>
  </si>
  <si>
    <t>Norvegji</t>
  </si>
  <si>
    <t>النرويج</t>
  </si>
  <si>
    <t>Նորվեգիա</t>
  </si>
  <si>
    <t>Norveç</t>
  </si>
  <si>
    <t>Норвегия</t>
  </si>
  <si>
    <t>Noruega</t>
  </si>
  <si>
    <t>挪威</t>
  </si>
  <si>
    <t>Norveška</t>
  </si>
  <si>
    <t>Norsko</t>
  </si>
  <si>
    <t>Norge</t>
  </si>
  <si>
    <t>Noorwegen</t>
  </si>
  <si>
    <t>Norvège</t>
  </si>
  <si>
    <t>ნორვეგია</t>
  </si>
  <si>
    <t>Norwegen</t>
  </si>
  <si>
    <t>Νορβηγία</t>
  </si>
  <si>
    <t>נורבגיה</t>
  </si>
  <si>
    <t>Norvégia</t>
  </si>
  <si>
    <t>Norwegia</t>
  </si>
  <si>
    <t>Noregur</t>
  </si>
  <si>
    <t>Norvegia</t>
  </si>
  <si>
    <t>노르웨이</t>
  </si>
  <si>
    <t>Norvegija</t>
  </si>
  <si>
    <t>Норвешка</t>
  </si>
  <si>
    <t>in-Norveġja</t>
  </si>
  <si>
    <t>نروژ</t>
  </si>
  <si>
    <t>Nórsko</t>
  </si>
  <si>
    <t>นอร์เวย์</t>
  </si>
  <si>
    <t>Na Uy</t>
  </si>
  <si>
    <t>Норвегія</t>
  </si>
  <si>
    <t>ناروے</t>
  </si>
  <si>
    <t>Algeria</t>
  </si>
  <si>
    <t>Algjeri</t>
  </si>
  <si>
    <t>الجزائر</t>
  </si>
  <si>
    <t>Ալժիր</t>
  </si>
  <si>
    <t>Əlcəzair</t>
  </si>
  <si>
    <t>Алжир</t>
  </si>
  <si>
    <t>Algèria</t>
  </si>
  <si>
    <t>阿尔及利亚</t>
  </si>
  <si>
    <t>阿爾及利亞</t>
  </si>
  <si>
    <t>Alžir</t>
  </si>
  <si>
    <t>Alžírsko</t>
  </si>
  <si>
    <t>Algeriet</t>
  </si>
  <si>
    <t>Algerije</t>
  </si>
  <si>
    <t>Algérie</t>
  </si>
  <si>
    <t>ალჟირი</t>
  </si>
  <si>
    <t>Algerien</t>
  </si>
  <si>
    <t>Αλγερία</t>
  </si>
  <si>
    <t>אלג'יריה</t>
  </si>
  <si>
    <t>Algéria</t>
  </si>
  <si>
    <t>Aljazair</t>
  </si>
  <si>
    <t>Alsír</t>
  </si>
  <si>
    <t>알제리</t>
  </si>
  <si>
    <t>Alžyras</t>
  </si>
  <si>
    <t>Alġerija</t>
  </si>
  <si>
    <t>Algerie</t>
  </si>
  <si>
    <t>الجزایر</t>
  </si>
  <si>
    <t>Algieria</t>
  </si>
  <si>
    <t>Argélia</t>
  </si>
  <si>
    <t>Alžirija</t>
  </si>
  <si>
    <t>Argelia</t>
  </si>
  <si>
    <t>แอลจีเรีย</t>
  </si>
  <si>
    <t>Cezayir</t>
  </si>
  <si>
    <t>Austria</t>
  </si>
  <si>
    <t>Austri</t>
  </si>
  <si>
    <t>النمسا</t>
  </si>
  <si>
    <t>Ավստրիա</t>
  </si>
  <si>
    <t>Avstriya</t>
  </si>
  <si>
    <t>Австрия</t>
  </si>
  <si>
    <t>Àustria</t>
  </si>
  <si>
    <t>奥地利</t>
  </si>
  <si>
    <t>奧地利</t>
  </si>
  <si>
    <t>Austrija</t>
  </si>
  <si>
    <t>Rakousko</t>
  </si>
  <si>
    <t>Østrig</t>
  </si>
  <si>
    <t>Oostenrijk</t>
  </si>
  <si>
    <t>Autriche</t>
  </si>
  <si>
    <t>ავსტრია</t>
  </si>
  <si>
    <t>Österreich</t>
  </si>
  <si>
    <t>Αυστρία</t>
  </si>
  <si>
    <t>אוֹסְטְרֵיָה</t>
  </si>
  <si>
    <t>Ausztria</t>
  </si>
  <si>
    <t>Austurríki</t>
  </si>
  <si>
    <t>오스트리아</t>
  </si>
  <si>
    <t>Австрија</t>
  </si>
  <si>
    <t>l-Awstrija</t>
  </si>
  <si>
    <t>Østerrike</t>
  </si>
  <si>
    <t>اتریش</t>
  </si>
  <si>
    <t>Áustria</t>
  </si>
  <si>
    <t>Аустрија</t>
  </si>
  <si>
    <t>Rakúsko</t>
  </si>
  <si>
    <t>Avstrija</t>
  </si>
  <si>
    <t>Österrike</t>
  </si>
  <si>
    <t>ออสเตรีย</t>
  </si>
  <si>
    <t>Avusturya</t>
  </si>
  <si>
    <t>Áo</t>
  </si>
  <si>
    <t>Австрія</t>
  </si>
  <si>
    <t>آسٹریا</t>
  </si>
  <si>
    <t>Jordan</t>
  </si>
  <si>
    <t>Jordania</t>
  </si>
  <si>
    <t>الأردن</t>
  </si>
  <si>
    <t>Հորդանան</t>
  </si>
  <si>
    <t>İordaniya</t>
  </si>
  <si>
    <t>Йордания</t>
  </si>
  <si>
    <t>Jordània</t>
  </si>
  <si>
    <t>约旦</t>
  </si>
  <si>
    <t>約旦</t>
  </si>
  <si>
    <t>Jordán</t>
  </si>
  <si>
    <t>Jordanië</t>
  </si>
  <si>
    <t>Jordanie</t>
  </si>
  <si>
    <t>იორდანია</t>
  </si>
  <si>
    <t>Jordanien</t>
  </si>
  <si>
    <t>Ιορδανία</t>
  </si>
  <si>
    <t>יַרדֵן</t>
  </si>
  <si>
    <t>Jordánia</t>
  </si>
  <si>
    <t>Yordania</t>
  </si>
  <si>
    <t>Jórdanía</t>
  </si>
  <si>
    <t>Giordania</t>
  </si>
  <si>
    <t>요르단</t>
  </si>
  <si>
    <t>Jordanija</t>
  </si>
  <si>
    <t>Јордан</t>
  </si>
  <si>
    <t>Ġordan</t>
  </si>
  <si>
    <t>اردن</t>
  </si>
  <si>
    <t>Jordânia</t>
  </si>
  <si>
    <t>Iordania</t>
  </si>
  <si>
    <t>Jordánsko</t>
  </si>
  <si>
    <t>จอร์แดน</t>
  </si>
  <si>
    <t>Ürdün</t>
  </si>
  <si>
    <t>Йорданія</t>
  </si>
  <si>
    <t>DR Congo</t>
  </si>
  <si>
    <t>RD Kongos</t>
  </si>
  <si>
    <t xml:space="preserve"> الكونغو</t>
  </si>
  <si>
    <t>Կոնգոյի</t>
  </si>
  <si>
    <t>Konqo DR</t>
  </si>
  <si>
    <t>ДР Конго</t>
  </si>
  <si>
    <t>RD Congo</t>
  </si>
  <si>
    <t>刚果民主共和国</t>
  </si>
  <si>
    <t>剛果民主共和國</t>
  </si>
  <si>
    <t>DR Kongo</t>
  </si>
  <si>
    <t>კონგოს</t>
  </si>
  <si>
    <t>ΛΔ Κονγκό</t>
  </si>
  <si>
    <t>דמוקרטית קונגו</t>
  </si>
  <si>
    <t>Kongói</t>
  </si>
  <si>
    <t>RD Kongo</t>
  </si>
  <si>
    <t>Lýðveldið Kongó</t>
  </si>
  <si>
    <t>콩고민주공화국</t>
  </si>
  <si>
    <t>Kongo DR</t>
  </si>
  <si>
    <t>Repubblika tal-Kongo</t>
  </si>
  <si>
    <t>جمهوری دموکراتیک کنگو</t>
  </si>
  <si>
    <t>DR Konga</t>
  </si>
  <si>
    <t>สาธารณรัฐประชาธิปไตยคองโก</t>
  </si>
  <si>
    <t>Kongo</t>
  </si>
  <si>
    <t>CHDC Congo</t>
  </si>
  <si>
    <t>ڈی آر کانگو</t>
  </si>
  <si>
    <t>Uzbekistan</t>
  </si>
  <si>
    <t>Uzbekistani</t>
  </si>
  <si>
    <t>أوزبكستان</t>
  </si>
  <si>
    <t>Ուզբեկստան</t>
  </si>
  <si>
    <t>Özbəkistan</t>
  </si>
  <si>
    <t>Узбекистан</t>
  </si>
  <si>
    <t>乌兹别克斯坦</t>
  </si>
  <si>
    <t>烏茲別克</t>
  </si>
  <si>
    <t>Uzbekistán</t>
  </si>
  <si>
    <t>Usbekistan</t>
  </si>
  <si>
    <t>Oezbekistan</t>
  </si>
  <si>
    <t>Ouzbékistan</t>
  </si>
  <si>
    <t>უზბეკეთი</t>
  </si>
  <si>
    <t>Ουζμπεκιστάν</t>
  </si>
  <si>
    <t>אוזבקיסטן</t>
  </si>
  <si>
    <t>Üzbegisztán</t>
  </si>
  <si>
    <t>Úsbekistan</t>
  </si>
  <si>
    <t>우즈베키스탄</t>
  </si>
  <si>
    <t>Uzbekistanas</t>
  </si>
  <si>
    <t>l-Użbekistan</t>
  </si>
  <si>
    <t>ازبکستان</t>
  </si>
  <si>
    <t>Uzbequistão</t>
  </si>
  <si>
    <t>อุซเบกิสถาน</t>
  </si>
  <si>
    <t>Özbekistan</t>
  </si>
  <si>
    <t>Colombia</t>
  </si>
  <si>
    <t>Kolumbia</t>
  </si>
  <si>
    <t>كولومبيا</t>
  </si>
  <si>
    <t>Կոլումբիա</t>
  </si>
  <si>
    <t>Kolumbiya</t>
  </si>
  <si>
    <t>Колумбия</t>
  </si>
  <si>
    <t>Colòmbia</t>
  </si>
  <si>
    <t>哥伦比亚</t>
  </si>
  <si>
    <t>哥倫比亞</t>
  </si>
  <si>
    <t>Kolumbija</t>
  </si>
  <si>
    <t>Kolumbie</t>
  </si>
  <si>
    <t>Colombie</t>
  </si>
  <si>
    <t>კოლუმბია</t>
  </si>
  <si>
    <t>Kolumbien</t>
  </si>
  <si>
    <t>Κολομβία</t>
  </si>
  <si>
    <t>קולומביה</t>
  </si>
  <si>
    <t>Kólumbía</t>
  </si>
  <si>
    <t>콜롬비아</t>
  </si>
  <si>
    <t>Колумбија</t>
  </si>
  <si>
    <t>Kolombja</t>
  </si>
  <si>
    <t>کلمبیا</t>
  </si>
  <si>
    <t>Colômbia</t>
  </si>
  <si>
    <t>Columbia</t>
  </si>
  <si>
    <t>โคลอมเบีย</t>
  </si>
  <si>
    <t>Kolombiya</t>
  </si>
  <si>
    <t>Колумбія</t>
  </si>
  <si>
    <t>کولمبیا</t>
  </si>
  <si>
    <t>Panama</t>
  </si>
  <si>
    <t>بنما</t>
  </si>
  <si>
    <t>Պանամա</t>
  </si>
  <si>
    <t>Панама</t>
  </si>
  <si>
    <t>Panamà</t>
  </si>
  <si>
    <t>巴拿马</t>
  </si>
  <si>
    <t>巴拿馬</t>
  </si>
  <si>
    <t>პანამა</t>
  </si>
  <si>
    <t>Παναμάς</t>
  </si>
  <si>
    <t>פנמה</t>
  </si>
  <si>
    <t>파나마</t>
  </si>
  <si>
    <t>il-Panama</t>
  </si>
  <si>
    <t>پاناما</t>
  </si>
  <si>
    <t>Panamá</t>
  </si>
  <si>
    <t>ปานามา</t>
  </si>
  <si>
    <t>پانامہ</t>
  </si>
  <si>
    <t>1A</t>
  </si>
  <si>
    <t>A1</t>
  </si>
  <si>
    <t>A 그룹 1위</t>
  </si>
  <si>
    <t>اول گروه A</t>
  </si>
  <si>
    <t>ที่ 1 สาย A</t>
  </si>
  <si>
    <t>۱الف</t>
  </si>
  <si>
    <t>2A</t>
  </si>
  <si>
    <t>A2</t>
  </si>
  <si>
    <t>A 그룹 2위</t>
  </si>
  <si>
    <t>دوم گروه A</t>
  </si>
  <si>
    <t>ที่ 2 สาย A</t>
  </si>
  <si>
    <t>۲الف</t>
  </si>
  <si>
    <t>1B</t>
  </si>
  <si>
    <t>B1</t>
  </si>
  <si>
    <t>B 그룹 1위</t>
  </si>
  <si>
    <t>اول گروه B</t>
  </si>
  <si>
    <t>ที่ 1 สาย B</t>
  </si>
  <si>
    <t>۱ب</t>
  </si>
  <si>
    <t>2B</t>
  </si>
  <si>
    <t>B2</t>
  </si>
  <si>
    <t>B 그룹 2위</t>
  </si>
  <si>
    <t>دوم گروهB</t>
  </si>
  <si>
    <t>ที่ 2 สาย B</t>
  </si>
  <si>
    <t>۲ب</t>
  </si>
  <si>
    <t>1C</t>
  </si>
  <si>
    <t>C1</t>
  </si>
  <si>
    <t>1Γ</t>
  </si>
  <si>
    <t>C 그룹 1위</t>
  </si>
  <si>
    <t>1Ċ</t>
  </si>
  <si>
    <t>اول گروه C</t>
  </si>
  <si>
    <t>ที่ 1 สาย C</t>
  </si>
  <si>
    <t>۱ج</t>
  </si>
  <si>
    <t>2C</t>
  </si>
  <si>
    <t>C2</t>
  </si>
  <si>
    <t>2Γ</t>
  </si>
  <si>
    <t>C 그룹 2위</t>
  </si>
  <si>
    <t>2Ċ</t>
  </si>
  <si>
    <t>دوم گروه C</t>
  </si>
  <si>
    <t>ที่ 2 สาย C</t>
  </si>
  <si>
    <t>۲ج</t>
  </si>
  <si>
    <t>1D</t>
  </si>
  <si>
    <t>D1</t>
  </si>
  <si>
    <t>1Δ</t>
  </si>
  <si>
    <t>D 그룹 1위</t>
  </si>
  <si>
    <t>اول گروه D</t>
  </si>
  <si>
    <t>ที่ 1 สาย D</t>
  </si>
  <si>
    <t>۱د</t>
  </si>
  <si>
    <t>2D</t>
  </si>
  <si>
    <t>D2</t>
  </si>
  <si>
    <t>2Δ</t>
  </si>
  <si>
    <t>D 그룹 2위</t>
  </si>
  <si>
    <t>دوم گروه D</t>
  </si>
  <si>
    <t>ที่ 2 สาย D</t>
  </si>
  <si>
    <t>۲د</t>
  </si>
  <si>
    <t>1E</t>
  </si>
  <si>
    <t>E1</t>
  </si>
  <si>
    <t>1Ε</t>
  </si>
  <si>
    <t>E 그룹 1위</t>
  </si>
  <si>
    <t>اول گروه E</t>
  </si>
  <si>
    <t>ที่ 1 สาย E</t>
  </si>
  <si>
    <t>۱ھ</t>
  </si>
  <si>
    <t>2E</t>
  </si>
  <si>
    <t>E2</t>
  </si>
  <si>
    <t>2Ε</t>
  </si>
  <si>
    <t>E 그룹 2위</t>
  </si>
  <si>
    <t>دوم گروه E</t>
  </si>
  <si>
    <t>ที่ 2 สาย E</t>
  </si>
  <si>
    <t>۲ھ</t>
  </si>
  <si>
    <t>1F</t>
  </si>
  <si>
    <t>F1</t>
  </si>
  <si>
    <t>1ΣΤ</t>
  </si>
  <si>
    <t>F 그룹 1위</t>
  </si>
  <si>
    <t>اول گروه F</t>
  </si>
  <si>
    <t>ที่ 1 สาย F</t>
  </si>
  <si>
    <t>۱و</t>
  </si>
  <si>
    <t>2F</t>
  </si>
  <si>
    <t>F2</t>
  </si>
  <si>
    <t>2ΣΤ</t>
  </si>
  <si>
    <t>F 그룹 2위</t>
  </si>
  <si>
    <t>دوم گروه F</t>
  </si>
  <si>
    <t>ที่ 2 สาย F</t>
  </si>
  <si>
    <t>۲و</t>
  </si>
  <si>
    <t>1G</t>
  </si>
  <si>
    <t>G1</t>
  </si>
  <si>
    <t>1Ζ</t>
  </si>
  <si>
    <t>G 그룹 1위</t>
  </si>
  <si>
    <t>1Ġ</t>
  </si>
  <si>
    <t>اول گروه G</t>
  </si>
  <si>
    <t>ที่ 1 สาย G</t>
  </si>
  <si>
    <t>۱ز</t>
  </si>
  <si>
    <t>2G</t>
  </si>
  <si>
    <t>G2</t>
  </si>
  <si>
    <t>2Ζ</t>
  </si>
  <si>
    <t>G 그룹 2위</t>
  </si>
  <si>
    <t>2Ġ</t>
  </si>
  <si>
    <t>دوم گروه G</t>
  </si>
  <si>
    <t>ที่ 2 สาย G</t>
  </si>
  <si>
    <t>۲ز</t>
  </si>
  <si>
    <t>1H</t>
  </si>
  <si>
    <t>H1</t>
  </si>
  <si>
    <t>H 그룹 1위</t>
  </si>
  <si>
    <t>1Ħ</t>
  </si>
  <si>
    <t>اول گروه H</t>
  </si>
  <si>
    <t>ที่ 1 สาย H</t>
  </si>
  <si>
    <t>۱ح</t>
  </si>
  <si>
    <t>2H</t>
  </si>
  <si>
    <t>H2</t>
  </si>
  <si>
    <t>H 그룹 2위</t>
  </si>
  <si>
    <t>دوم گروه H</t>
  </si>
  <si>
    <t>ที่ 2 สาย H</t>
  </si>
  <si>
    <t>۲ح</t>
  </si>
  <si>
    <t>W49</t>
  </si>
  <si>
    <t>F49</t>
  </si>
  <si>
    <t>Q49</t>
  </si>
  <si>
    <t>G49</t>
  </si>
  <si>
    <t>49胜者</t>
  </si>
  <si>
    <t>V49</t>
  </si>
  <si>
    <t>მ49</t>
  </si>
  <si>
    <t>Ν49</t>
  </si>
  <si>
    <t>GY49</t>
  </si>
  <si>
    <t>16강전 경기1 승자</t>
  </si>
  <si>
    <t>L49</t>
  </si>
  <si>
    <t>П49</t>
  </si>
  <si>
    <t>R49</t>
  </si>
  <si>
    <t>برنده بازی 49</t>
  </si>
  <si>
    <t>C49</t>
  </si>
  <si>
    <t>P49</t>
  </si>
  <si>
    <t>ผู้ชนะนัดที่ 49</t>
  </si>
  <si>
    <t>T49</t>
  </si>
  <si>
    <t>Переможець 49</t>
  </si>
  <si>
    <t>۴۹ جیت</t>
  </si>
  <si>
    <t>W50</t>
  </si>
  <si>
    <t>F50</t>
  </si>
  <si>
    <t>Q50</t>
  </si>
  <si>
    <t>G50</t>
  </si>
  <si>
    <t>50胜者</t>
  </si>
  <si>
    <t>V50</t>
  </si>
  <si>
    <t>მ50</t>
  </si>
  <si>
    <t>Ν50</t>
  </si>
  <si>
    <t>GY50</t>
  </si>
  <si>
    <t>16강전 경기2 승자</t>
  </si>
  <si>
    <t>L50</t>
  </si>
  <si>
    <t>П50</t>
  </si>
  <si>
    <t>R50</t>
  </si>
  <si>
    <t>برنده بازی 50</t>
  </si>
  <si>
    <t>C50</t>
  </si>
  <si>
    <t>P50</t>
  </si>
  <si>
    <t>ผู้ชนะนัดที่ 50</t>
  </si>
  <si>
    <t>T50</t>
  </si>
  <si>
    <t>Переможець 50</t>
  </si>
  <si>
    <t>۵۰ جیت</t>
  </si>
  <si>
    <t>W51</t>
  </si>
  <si>
    <t>F51</t>
  </si>
  <si>
    <t>Q51</t>
  </si>
  <si>
    <t>G51</t>
  </si>
  <si>
    <t>51胜者</t>
  </si>
  <si>
    <t>V51</t>
  </si>
  <si>
    <t>მ51</t>
  </si>
  <si>
    <t>Ν51</t>
  </si>
  <si>
    <t>GY51</t>
  </si>
  <si>
    <t>16강전 경기3 승자</t>
  </si>
  <si>
    <t>L51</t>
  </si>
  <si>
    <t>П51</t>
  </si>
  <si>
    <t>R51</t>
  </si>
  <si>
    <t>برنده بازی 51</t>
  </si>
  <si>
    <t>C51</t>
  </si>
  <si>
    <t>P51</t>
  </si>
  <si>
    <t>ผู้ชนะนัดที่ 51</t>
  </si>
  <si>
    <t>T51</t>
  </si>
  <si>
    <t>Переможець 51</t>
  </si>
  <si>
    <t>۵۱ جیت</t>
  </si>
  <si>
    <t>W52</t>
  </si>
  <si>
    <t>F52</t>
  </si>
  <si>
    <t>Q52</t>
  </si>
  <si>
    <t>G52</t>
  </si>
  <si>
    <t>52胜者</t>
  </si>
  <si>
    <t>V52</t>
  </si>
  <si>
    <t>მ52</t>
  </si>
  <si>
    <t>Ν52</t>
  </si>
  <si>
    <t>GY52</t>
  </si>
  <si>
    <t>16강전 경기4 승자</t>
  </si>
  <si>
    <t>L52</t>
  </si>
  <si>
    <t>П52</t>
  </si>
  <si>
    <t>R52</t>
  </si>
  <si>
    <t>برنده بازی 52</t>
  </si>
  <si>
    <t>C52</t>
  </si>
  <si>
    <t>P52</t>
  </si>
  <si>
    <t>ผู้ชนะนัดที่ 52</t>
  </si>
  <si>
    <t>T52</t>
  </si>
  <si>
    <t>Переможець 52</t>
  </si>
  <si>
    <t>۵۲ جیت</t>
  </si>
  <si>
    <t>W53</t>
  </si>
  <si>
    <t>F53</t>
  </si>
  <si>
    <t>Q53</t>
  </si>
  <si>
    <t>G53</t>
  </si>
  <si>
    <t>53胜者</t>
  </si>
  <si>
    <t>V53</t>
  </si>
  <si>
    <t>მ53</t>
  </si>
  <si>
    <t>Ν53</t>
  </si>
  <si>
    <t>GY53</t>
  </si>
  <si>
    <t>16강전 경기5 승자</t>
  </si>
  <si>
    <t>L53</t>
  </si>
  <si>
    <t>П53</t>
  </si>
  <si>
    <t>R53</t>
  </si>
  <si>
    <t>برنده بازی 53</t>
  </si>
  <si>
    <t>C53</t>
  </si>
  <si>
    <t>P53</t>
  </si>
  <si>
    <t>ผู้ชนะนัดที่ 53</t>
  </si>
  <si>
    <t>T53</t>
  </si>
  <si>
    <t>Переможець 53</t>
  </si>
  <si>
    <t>۵۳ جیت</t>
  </si>
  <si>
    <t>W54</t>
  </si>
  <si>
    <t>F54</t>
  </si>
  <si>
    <t>Q54</t>
  </si>
  <si>
    <t>G54</t>
  </si>
  <si>
    <t>54胜者</t>
  </si>
  <si>
    <t>V54</t>
  </si>
  <si>
    <t>მ54</t>
  </si>
  <si>
    <t>Ν54</t>
  </si>
  <si>
    <t>GY54</t>
  </si>
  <si>
    <t>16강전 경기6 승자</t>
  </si>
  <si>
    <t>L54</t>
  </si>
  <si>
    <t>П54</t>
  </si>
  <si>
    <t>R54</t>
  </si>
  <si>
    <t>برنده بازی 54</t>
  </si>
  <si>
    <t>C54</t>
  </si>
  <si>
    <t>P54</t>
  </si>
  <si>
    <t>ผู้ชนะนัดที่ 54</t>
  </si>
  <si>
    <t>T54</t>
  </si>
  <si>
    <t>Переможець 54</t>
  </si>
  <si>
    <t>۵۴ جیت</t>
  </si>
  <si>
    <t>W55</t>
  </si>
  <si>
    <t>F55</t>
  </si>
  <si>
    <t>Q55</t>
  </si>
  <si>
    <t>G55</t>
  </si>
  <si>
    <t>55胜者</t>
  </si>
  <si>
    <t>V55</t>
  </si>
  <si>
    <t>მ55</t>
  </si>
  <si>
    <t>Ν55</t>
  </si>
  <si>
    <t>GY55</t>
  </si>
  <si>
    <t>16강전 경기7 승자</t>
  </si>
  <si>
    <t>L55</t>
  </si>
  <si>
    <t>П55</t>
  </si>
  <si>
    <t>R55</t>
  </si>
  <si>
    <t>برنده بازی 55</t>
  </si>
  <si>
    <t>C55</t>
  </si>
  <si>
    <t>P55</t>
  </si>
  <si>
    <t>ผู้ชนะนัดที่ 55</t>
  </si>
  <si>
    <t>T55</t>
  </si>
  <si>
    <t>Переможець 55</t>
  </si>
  <si>
    <t>۵۵ جیت</t>
  </si>
  <si>
    <t>W56</t>
  </si>
  <si>
    <t>F56</t>
  </si>
  <si>
    <t>Q56</t>
  </si>
  <si>
    <t>G56</t>
  </si>
  <si>
    <t>56胜者</t>
  </si>
  <si>
    <t>V56</t>
  </si>
  <si>
    <t>მ56</t>
  </si>
  <si>
    <t>Ν56</t>
  </si>
  <si>
    <t>GY56</t>
  </si>
  <si>
    <t>16강전 경기8 승자</t>
  </si>
  <si>
    <t>L56</t>
  </si>
  <si>
    <t>П56</t>
  </si>
  <si>
    <t>R56</t>
  </si>
  <si>
    <t>برنده بازی 56</t>
  </si>
  <si>
    <t>C56</t>
  </si>
  <si>
    <t>P56</t>
  </si>
  <si>
    <t>ผู้ชนะนัดที่ 56</t>
  </si>
  <si>
    <t>T56</t>
  </si>
  <si>
    <t>Переможець 56</t>
  </si>
  <si>
    <t>۵۶ جیت</t>
  </si>
  <si>
    <t>W57</t>
  </si>
  <si>
    <t>F57</t>
  </si>
  <si>
    <t>Q57</t>
  </si>
  <si>
    <t>G57</t>
  </si>
  <si>
    <t>57胜者</t>
  </si>
  <si>
    <t>V57</t>
  </si>
  <si>
    <t>მ57</t>
  </si>
  <si>
    <t>Ν57</t>
  </si>
  <si>
    <t>GY57</t>
  </si>
  <si>
    <t>8강전 경기1 승자</t>
  </si>
  <si>
    <t>L57</t>
  </si>
  <si>
    <t>П57</t>
  </si>
  <si>
    <t>R57</t>
  </si>
  <si>
    <t>برنده بازی 57</t>
  </si>
  <si>
    <t>C57</t>
  </si>
  <si>
    <t>P57</t>
  </si>
  <si>
    <t>ผู้ชนะนัดที่ 57</t>
  </si>
  <si>
    <t>T57</t>
  </si>
  <si>
    <t>Переможець 57</t>
  </si>
  <si>
    <t>۵۷ جیت</t>
  </si>
  <si>
    <t>W58</t>
  </si>
  <si>
    <t>F58</t>
  </si>
  <si>
    <t>Q58</t>
  </si>
  <si>
    <t>G58</t>
  </si>
  <si>
    <t>58胜者</t>
  </si>
  <si>
    <t>V58</t>
  </si>
  <si>
    <t>მ58</t>
  </si>
  <si>
    <t>Ν58</t>
  </si>
  <si>
    <t>GY58</t>
  </si>
  <si>
    <t>8강전 경기2 승자</t>
  </si>
  <si>
    <t>L58</t>
  </si>
  <si>
    <t>П58</t>
  </si>
  <si>
    <t>R58</t>
  </si>
  <si>
    <t>برنده بازی 58</t>
  </si>
  <si>
    <t>C58</t>
  </si>
  <si>
    <t>P58</t>
  </si>
  <si>
    <t>ผู้ชนะนัดที่ 58</t>
  </si>
  <si>
    <t>T58</t>
  </si>
  <si>
    <t>Переможець 58</t>
  </si>
  <si>
    <t>۵۸ جیت</t>
  </si>
  <si>
    <t>W59</t>
  </si>
  <si>
    <t>F59</t>
  </si>
  <si>
    <t>Q59</t>
  </si>
  <si>
    <t>G59</t>
  </si>
  <si>
    <t>59胜者</t>
  </si>
  <si>
    <t>V59</t>
  </si>
  <si>
    <t>მ59</t>
  </si>
  <si>
    <t>Ν59</t>
  </si>
  <si>
    <t>GY59</t>
  </si>
  <si>
    <t>8강전 경기3 승자</t>
  </si>
  <si>
    <t>L59</t>
  </si>
  <si>
    <t>П59</t>
  </si>
  <si>
    <t>R59</t>
  </si>
  <si>
    <t>برنده بازی 59</t>
  </si>
  <si>
    <t>C59</t>
  </si>
  <si>
    <t>P59</t>
  </si>
  <si>
    <t>ผู้ชนะนัดที่ 59</t>
  </si>
  <si>
    <t>T59</t>
  </si>
  <si>
    <t>Переможець 59</t>
  </si>
  <si>
    <t>۵۹ جیت</t>
  </si>
  <si>
    <t>W60</t>
  </si>
  <si>
    <t>F60</t>
  </si>
  <si>
    <t>Q60</t>
  </si>
  <si>
    <t>G60</t>
  </si>
  <si>
    <t>60胜者</t>
  </si>
  <si>
    <t>V60</t>
  </si>
  <si>
    <t>მ60</t>
  </si>
  <si>
    <t>Ν60</t>
  </si>
  <si>
    <t>GY60</t>
  </si>
  <si>
    <t>8강전 경기4 승자</t>
  </si>
  <si>
    <t>L60</t>
  </si>
  <si>
    <t>П60</t>
  </si>
  <si>
    <t>R60</t>
  </si>
  <si>
    <t>برنده بازی 60</t>
  </si>
  <si>
    <t>C60</t>
  </si>
  <si>
    <t>P60</t>
  </si>
  <si>
    <t>ผู้ชนะนัดที่ 60</t>
  </si>
  <si>
    <t>T60</t>
  </si>
  <si>
    <t>Переможець 60</t>
  </si>
  <si>
    <t>۶۰ جیت</t>
  </si>
  <si>
    <t>W61</t>
  </si>
  <si>
    <t>F61</t>
  </si>
  <si>
    <t>Q61</t>
  </si>
  <si>
    <t>G61</t>
  </si>
  <si>
    <t>61胜者</t>
  </si>
  <si>
    <t>V61</t>
  </si>
  <si>
    <t>მ61</t>
  </si>
  <si>
    <t>Ν61</t>
  </si>
  <si>
    <t>GY61</t>
  </si>
  <si>
    <t>준결승 경기1 승자</t>
  </si>
  <si>
    <t>L61</t>
  </si>
  <si>
    <t>П61</t>
  </si>
  <si>
    <t>R61</t>
  </si>
  <si>
    <t>برنده بازی 61</t>
  </si>
  <si>
    <t>C61</t>
  </si>
  <si>
    <t>P61</t>
  </si>
  <si>
    <t>ผู้ชนะนัดที่ 61</t>
  </si>
  <si>
    <t>T61</t>
  </si>
  <si>
    <t>Переможець 61</t>
  </si>
  <si>
    <t>۶۱ جیت</t>
  </si>
  <si>
    <t>W62</t>
  </si>
  <si>
    <t>F62</t>
  </si>
  <si>
    <t>Q62</t>
  </si>
  <si>
    <t>G62</t>
  </si>
  <si>
    <t>62胜者</t>
  </si>
  <si>
    <t>V62</t>
  </si>
  <si>
    <t>მ62</t>
  </si>
  <si>
    <t>Ν62</t>
  </si>
  <si>
    <t>GY62</t>
  </si>
  <si>
    <t>준결승 경기2 승자</t>
  </si>
  <si>
    <t>L62</t>
  </si>
  <si>
    <t>П62</t>
  </si>
  <si>
    <t>R62</t>
  </si>
  <si>
    <t>برنده بازی 62</t>
  </si>
  <si>
    <t>C62</t>
  </si>
  <si>
    <t>P62</t>
  </si>
  <si>
    <t>ผู้ชนะนัดที่ 62</t>
  </si>
  <si>
    <t>T62</t>
  </si>
  <si>
    <t>Переможець 62</t>
  </si>
  <si>
    <t>۶۲ جیت</t>
  </si>
  <si>
    <t>H61</t>
  </si>
  <si>
    <t>M61</t>
  </si>
  <si>
    <t>61负者</t>
  </si>
  <si>
    <t>წ61</t>
  </si>
  <si>
    <t>Η61</t>
  </si>
  <si>
    <t>준결승 경기1 패자</t>
  </si>
  <si>
    <t>И61</t>
  </si>
  <si>
    <t>بازنده بازی 61</t>
  </si>
  <si>
    <t>I61</t>
  </si>
  <si>
    <t>ผู้แพ้นัดที่ 61</t>
  </si>
  <si>
    <t>B61</t>
  </si>
  <si>
    <t>Переможений 61</t>
  </si>
  <si>
    <t>۶۱ ہار</t>
  </si>
  <si>
    <t>H62</t>
  </si>
  <si>
    <t>M62</t>
  </si>
  <si>
    <t>62负者</t>
  </si>
  <si>
    <t>წ62</t>
  </si>
  <si>
    <t>Η62</t>
  </si>
  <si>
    <t>준결승 경기2 패자</t>
  </si>
  <si>
    <t>И62</t>
  </si>
  <si>
    <t>بازنده بازی 62</t>
  </si>
  <si>
    <t>I62</t>
  </si>
  <si>
    <t>ผู้แพ้นัดที่ 62</t>
  </si>
  <si>
    <t>B62</t>
  </si>
  <si>
    <t>Переможений 62</t>
  </si>
  <si>
    <t>۶۲ ہار</t>
  </si>
  <si>
    <t>World Champion 2026</t>
  </si>
  <si>
    <t xml:space="preserve">Kampioni </t>
  </si>
  <si>
    <t>بطل العالم 2026</t>
  </si>
  <si>
    <t>Աշխարհի 2026թ. Հաղթող</t>
  </si>
  <si>
    <t>Dünya Çempionu 2026</t>
  </si>
  <si>
    <t>Световен шампион 2026</t>
  </si>
  <si>
    <t>Campió del Món 2026</t>
  </si>
  <si>
    <t>2026世界杯冠军</t>
  </si>
  <si>
    <t>Svjetski prvak 2026</t>
  </si>
  <si>
    <t>Mistr světa 2026</t>
  </si>
  <si>
    <t>Verdensmester 2026</t>
  </si>
  <si>
    <t>Wereldkampioen 2026</t>
  </si>
  <si>
    <t>Heimsmeistari 2026</t>
  </si>
  <si>
    <t>Champion du Monde 2026</t>
  </si>
  <si>
    <t>მსოფლიოს ჩემპიონი 2026</t>
  </si>
  <si>
    <t>Weltmeister 2026</t>
  </si>
  <si>
    <t>Πρωταθλητής 2026</t>
  </si>
  <si>
    <t>גביע העולם 2026</t>
  </si>
  <si>
    <t>A labdarúgó-VB győztes csapata:</t>
  </si>
  <si>
    <t>Juara Piala Dunia 2026</t>
  </si>
  <si>
    <t>Heimsmeistarar 2026</t>
  </si>
  <si>
    <t>Coppa del Mondo 2026</t>
  </si>
  <si>
    <t>2026년 우승국가</t>
  </si>
  <si>
    <t>Pasaulio Čempionas 2026</t>
  </si>
  <si>
    <t>Светски шампион 2026</t>
  </si>
  <si>
    <t>Rebbieħ tat-Tazza tad-Dinja 2026</t>
  </si>
  <si>
    <t>Vinner 2026</t>
  </si>
  <si>
    <t>قهرمان جام جهانی 2026</t>
  </si>
  <si>
    <t>Mistrz Świata 2026</t>
  </si>
  <si>
    <t>Vencedor do Campeonato do Mundo 2026</t>
  </si>
  <si>
    <t>Campioana Mondiala 2026</t>
  </si>
  <si>
    <t>Svjetski šampion 2026</t>
  </si>
  <si>
    <t>Majster sveta 2026</t>
  </si>
  <si>
    <t>Svetovno prvak 2026</t>
  </si>
  <si>
    <t>Campeón 2026</t>
  </si>
  <si>
    <t>Världsmästare 2026</t>
  </si>
  <si>
    <t>แชมป์โลกปี 2026</t>
  </si>
  <si>
    <t>2026 Dünya Şampiyonu</t>
  </si>
  <si>
    <t>Vòng Chung Kết 2026</t>
  </si>
  <si>
    <t>Чемпіон Світу 2026</t>
  </si>
  <si>
    <t>ورلڈ چیمپینس</t>
  </si>
  <si>
    <t>en</t>
  </si>
  <si>
    <t>sq</t>
  </si>
  <si>
    <t>ar</t>
  </si>
  <si>
    <t>hy</t>
  </si>
  <si>
    <t>az</t>
  </si>
  <si>
    <t>bg</t>
  </si>
  <si>
    <t>ca</t>
  </si>
  <si>
    <t>zh-CN</t>
  </si>
  <si>
    <t>zh-TW</t>
  </si>
  <si>
    <t>hr</t>
  </si>
  <si>
    <t>cs</t>
  </si>
  <si>
    <t>da</t>
  </si>
  <si>
    <t>nl</t>
  </si>
  <si>
    <t>fr</t>
  </si>
  <si>
    <t>ka</t>
  </si>
  <si>
    <t>de</t>
  </si>
  <si>
    <t>el</t>
  </si>
  <si>
    <t>iw</t>
  </si>
  <si>
    <t>hu</t>
  </si>
  <si>
    <t>id</t>
  </si>
  <si>
    <t>is</t>
  </si>
  <si>
    <t>it</t>
  </si>
  <si>
    <t>ko</t>
  </si>
  <si>
    <t>lt</t>
  </si>
  <si>
    <t>mk</t>
  </si>
  <si>
    <t>mt</t>
  </si>
  <si>
    <t>no</t>
  </si>
  <si>
    <t>fa</t>
  </si>
  <si>
    <t>pl</t>
  </si>
  <si>
    <t>pt</t>
  </si>
  <si>
    <t>ro</t>
  </si>
  <si>
    <t>sr</t>
  </si>
  <si>
    <t>sk</t>
  </si>
  <si>
    <t>sl</t>
  </si>
  <si>
    <t>es</t>
  </si>
  <si>
    <t>sv</t>
  </si>
  <si>
    <t>th</t>
  </si>
  <si>
    <t>tr</t>
  </si>
  <si>
    <t>vi</t>
  </si>
  <si>
    <t>uk</t>
  </si>
  <si>
    <t>ur</t>
  </si>
  <si>
    <t>Settings</t>
  </si>
  <si>
    <t>Group Round Sorting</t>
  </si>
  <si>
    <t>Language</t>
  </si>
  <si>
    <t>Step #1</t>
  </si>
  <si>
    <t>Points</t>
  </si>
  <si>
    <t>Summer Time</t>
  </si>
  <si>
    <t>No</t>
  </si>
  <si>
    <t>Step #2</t>
  </si>
  <si>
    <t>Concerned teams (Pnt, GF-GA, GF)</t>
  </si>
  <si>
    <t>Step #3</t>
  </si>
  <si>
    <t>Goal Difference</t>
  </si>
  <si>
    <t>GTM-Time</t>
  </si>
  <si>
    <t>GMT - 5:00</t>
  </si>
  <si>
    <t>Step #4</t>
  </si>
  <si>
    <t>Goals Scored</t>
  </si>
  <si>
    <t>Step #5</t>
  </si>
  <si>
    <t>FIFA Rank</t>
  </si>
  <si>
    <t>Minutes</t>
  </si>
  <si>
    <t>+0 min</t>
  </si>
  <si>
    <t>Favorite Team</t>
  </si>
  <si>
    <t>Language ID</t>
  </si>
  <si>
    <t>GMT Delta</t>
  </si>
  <si>
    <t>GMT - 11:00</t>
  </si>
  <si>
    <t>GMT - 10:00</t>
  </si>
  <si>
    <t>GMT - 9:00</t>
  </si>
  <si>
    <t>GMT - 8:00</t>
  </si>
  <si>
    <t>GMT - 7:00</t>
  </si>
  <si>
    <t>GMT - 6:00</t>
  </si>
  <si>
    <t>GMT - 4:00</t>
  </si>
  <si>
    <t>GMT - 3:00</t>
  </si>
  <si>
    <t>GMT - 2:00</t>
  </si>
  <si>
    <t>GMT - 1:00</t>
  </si>
  <si>
    <t>GMT</t>
  </si>
  <si>
    <t>GMT + 1:00</t>
  </si>
  <si>
    <t>GMT + 2:00</t>
  </si>
  <si>
    <t>GMT + 3:00</t>
  </si>
  <si>
    <t>GMT + 4:00</t>
  </si>
  <si>
    <t>GMT + 5:00</t>
  </si>
  <si>
    <t>GMT + 6:00</t>
  </si>
  <si>
    <t>GMT + 7:00</t>
  </si>
  <si>
    <t>GMT + 8:00</t>
  </si>
  <si>
    <t>GMT + 9:00</t>
  </si>
  <si>
    <t>GMT + 10:00</t>
  </si>
  <si>
    <t>GMT + 11:00</t>
  </si>
  <si>
    <t>GMT + 12:00</t>
  </si>
  <si>
    <t>GMT + 13:00</t>
  </si>
  <si>
    <t>+15 min</t>
  </si>
  <si>
    <t>+30 min</t>
  </si>
  <si>
    <t>+45 min</t>
  </si>
  <si>
    <t>itype</t>
  </si>
  <si>
    <t>Date + Time + GMT</t>
  </si>
  <si>
    <t>GF</t>
  </si>
  <si>
    <t>GA</t>
  </si>
  <si>
    <t>Place</t>
  </si>
  <si>
    <t>F-A</t>
  </si>
  <si>
    <t>F-A (norm)</t>
  </si>
  <si>
    <t>Pnt</t>
  </si>
  <si>
    <t>FIFA</t>
  </si>
  <si>
    <t>Rank</t>
  </si>
  <si>
    <t>R (norm)</t>
  </si>
  <si>
    <t>Round of 32</t>
  </si>
  <si>
    <t>3A</t>
  </si>
  <si>
    <t>3B</t>
  </si>
  <si>
    <t>3C</t>
  </si>
  <si>
    <t>3D</t>
  </si>
  <si>
    <t>3E</t>
  </si>
  <si>
    <t>3F</t>
  </si>
  <si>
    <t>3G</t>
  </si>
  <si>
    <t>3H</t>
  </si>
  <si>
    <t>3I</t>
  </si>
  <si>
    <t>3J</t>
  </si>
  <si>
    <t>3K</t>
  </si>
  <si>
    <t>3L</t>
  </si>
  <si>
    <t>Best 3rds</t>
  </si>
  <si>
    <t>No.</t>
  </si>
  <si>
    <t>1A vs</t>
  </si>
  <si>
    <t>1B vs</t>
  </si>
  <si>
    <t>1D vs</t>
  </si>
  <si>
    <t>1E vs</t>
  </si>
  <si>
    <t>1G vs</t>
  </si>
  <si>
    <t>1I vs</t>
  </si>
  <si>
    <t>1K vs</t>
  </si>
  <si>
    <t>1L vs</t>
  </si>
  <si>
    <t>EFGHIJKL</t>
  </si>
  <si>
    <t>DFGHIJKL</t>
  </si>
  <si>
    <t>DEGHIJKL</t>
  </si>
  <si>
    <t>DEFHIJKL</t>
  </si>
  <si>
    <t>DEFGIJKL</t>
  </si>
  <si>
    <t>DEFGHJKL</t>
  </si>
  <si>
    <t>DEFGHIKL</t>
  </si>
  <si>
    <t>DEFGHIJL</t>
  </si>
  <si>
    <t>DEFGHIJK</t>
  </si>
  <si>
    <t>CFGHIJKL</t>
  </si>
  <si>
    <t>CEGHIJKL</t>
  </si>
  <si>
    <t>CEFHIJKL</t>
  </si>
  <si>
    <t>CEFGIJKL</t>
  </si>
  <si>
    <t>CEFGHJKL</t>
  </si>
  <si>
    <t>CEFGHIKL</t>
  </si>
  <si>
    <t>CEFGHIJL</t>
  </si>
  <si>
    <t>CEFGHIJK</t>
  </si>
  <si>
    <t>CDGHIJKL</t>
  </si>
  <si>
    <t>CDFHIJKL</t>
  </si>
  <si>
    <t>CDFGIJKL</t>
  </si>
  <si>
    <t>CDFGHJKL</t>
  </si>
  <si>
    <t>CDFGHIKL</t>
  </si>
  <si>
    <t>CDFGHIJL</t>
  </si>
  <si>
    <t>CDFGHIJK</t>
  </si>
  <si>
    <t>CDEHIJKL</t>
  </si>
  <si>
    <t>CDEGIJKL</t>
  </si>
  <si>
    <t>CDEGHJKL</t>
  </si>
  <si>
    <t>CDEGHIKL</t>
  </si>
  <si>
    <t>CDEGHIJL</t>
  </si>
  <si>
    <t>CDEGHIJK</t>
  </si>
  <si>
    <t>CDEFIJKL</t>
  </si>
  <si>
    <t>CDEFHJKL</t>
  </si>
  <si>
    <t>CDEFHIKL</t>
  </si>
  <si>
    <t>CDEFHIJL</t>
  </si>
  <si>
    <t>CDEFHIJK</t>
  </si>
  <si>
    <t>CDEFGJKL</t>
  </si>
  <si>
    <t>CDEFGIKL</t>
  </si>
  <si>
    <t>CDEFGIJL</t>
  </si>
  <si>
    <t>CDEFGIJK</t>
  </si>
  <si>
    <t>CDEFGHKL</t>
  </si>
  <si>
    <t>CDEFGHJL</t>
  </si>
  <si>
    <t>CDEFGHJK</t>
  </si>
  <si>
    <t>CDEFGHIL</t>
  </si>
  <si>
    <t>CDEFGHIK</t>
  </si>
  <si>
    <t>CDEFGHIJ</t>
  </si>
  <si>
    <t>BFGHIJKL</t>
  </si>
  <si>
    <t>BEGHIJKL</t>
  </si>
  <si>
    <t>BEFHIJKL</t>
  </si>
  <si>
    <t>BEFGIJKL</t>
  </si>
  <si>
    <t>BEFGHJKL</t>
  </si>
  <si>
    <t>BEFGHIKL</t>
  </si>
  <si>
    <t>BEFGHIJL</t>
  </si>
  <si>
    <t>BEFGHIJK</t>
  </si>
  <si>
    <t>BDGHIJKL</t>
  </si>
  <si>
    <t>BDFHIJKL</t>
  </si>
  <si>
    <t>BDFGIJKL</t>
  </si>
  <si>
    <t>BDFGHJKL</t>
  </si>
  <si>
    <t>BDFGHIKL</t>
  </si>
  <si>
    <t>BDFGHIJL</t>
  </si>
  <si>
    <t>BDFGHIJK</t>
  </si>
  <si>
    <t>BDEHIJKL</t>
  </si>
  <si>
    <t>BDEGIJKL</t>
  </si>
  <si>
    <t>BDEGHJKL</t>
  </si>
  <si>
    <t>BDEGHIKL</t>
  </si>
  <si>
    <t>BDEGHIJL</t>
  </si>
  <si>
    <t>BDEGHIJK</t>
  </si>
  <si>
    <t>BDEFIJKL</t>
  </si>
  <si>
    <t>BDEFHJKL</t>
  </si>
  <si>
    <t>BDEFHIKL</t>
  </si>
  <si>
    <t>BDEFHIJL</t>
  </si>
  <si>
    <t>BDEFHIJK</t>
  </si>
  <si>
    <t>BDEFGJKL</t>
  </si>
  <si>
    <t>BDEFGIKL</t>
  </si>
  <si>
    <t>BDEFGIJL</t>
  </si>
  <si>
    <t>BDEFGIJK</t>
  </si>
  <si>
    <t>BDEFGHKL</t>
  </si>
  <si>
    <t>BDEFGHJL</t>
  </si>
  <si>
    <t>BDEFGHJK</t>
  </si>
  <si>
    <t>BDEFGHIL</t>
  </si>
  <si>
    <t>BDEFGHIK</t>
  </si>
  <si>
    <t>BDEFGHIJ</t>
  </si>
  <si>
    <t>BCGHIJKL</t>
  </si>
  <si>
    <t>BCFHIJKL</t>
  </si>
  <si>
    <t>BCFGIJKL</t>
  </si>
  <si>
    <t>BCFGHJKL</t>
  </si>
  <si>
    <t>BCFGHIKL</t>
  </si>
  <si>
    <t>BCFGHIJL</t>
  </si>
  <si>
    <t>BCFGHIJK</t>
  </si>
  <si>
    <t>BCEHIJKL</t>
  </si>
  <si>
    <t>BCEGIJKL</t>
  </si>
  <si>
    <t>BCEGHJKL</t>
  </si>
  <si>
    <t>BCEGHIKL</t>
  </si>
  <si>
    <t>BCEGHIJL</t>
  </si>
  <si>
    <t>BCEGHIJK</t>
  </si>
  <si>
    <t>BCEFIJKL</t>
  </si>
  <si>
    <t>BCEFHJKL</t>
  </si>
  <si>
    <t>BCEFHIKL</t>
  </si>
  <si>
    <t>BCEFHIJL</t>
  </si>
  <si>
    <t>BCEFHIJK</t>
  </si>
  <si>
    <t>BCEFGJKL</t>
  </si>
  <si>
    <t>BCEFGIKL</t>
  </si>
  <si>
    <t>BCEFGIJL</t>
  </si>
  <si>
    <t>BCEFGIJK</t>
  </si>
  <si>
    <t>BCEFGHKL</t>
  </si>
  <si>
    <t>BCEFGHJL</t>
  </si>
  <si>
    <t>BCEFGHJK</t>
  </si>
  <si>
    <t>BCEFGHIL</t>
  </si>
  <si>
    <t>BCEFGHIK</t>
  </si>
  <si>
    <t>BCEFGHIJ</t>
  </si>
  <si>
    <t>BCDHIJKL</t>
  </si>
  <si>
    <t>BCDGIJKL</t>
  </si>
  <si>
    <t>BCDGHJKL</t>
  </si>
  <si>
    <t>BCDGHIKL</t>
  </si>
  <si>
    <t>BCDGHIJL</t>
  </si>
  <si>
    <t>BCDGHIJK</t>
  </si>
  <si>
    <t>BCDFIJKL</t>
  </si>
  <si>
    <t>BCDFHJKL</t>
  </si>
  <si>
    <t>BCDFHIKL</t>
  </si>
  <si>
    <t>BCDFHIJL</t>
  </si>
  <si>
    <t>BCDFHIJK</t>
  </si>
  <si>
    <t>BCDFGJKL</t>
  </si>
  <si>
    <t>BCDFGIKL</t>
  </si>
  <si>
    <t>BCDFGIJL</t>
  </si>
  <si>
    <t>BCDFGIJK</t>
  </si>
  <si>
    <t>BCDFGHKL</t>
  </si>
  <si>
    <t>BCDFGHJL</t>
  </si>
  <si>
    <t>BCDFGHJK</t>
  </si>
  <si>
    <t>BCDFGHIL</t>
  </si>
  <si>
    <t>BCDFGHIK</t>
  </si>
  <si>
    <t>BCDFGHIJ</t>
  </si>
  <si>
    <t>BCDEIJKL</t>
  </si>
  <si>
    <t>BCDEHJKL</t>
  </si>
  <si>
    <t>BCDEHIKL</t>
  </si>
  <si>
    <t>BCDEHIJL</t>
  </si>
  <si>
    <t>BCDEHIJK</t>
  </si>
  <si>
    <t>BCDEGJKL</t>
  </si>
  <si>
    <t>BCDEGIKL</t>
  </si>
  <si>
    <t>BCDEGIJL</t>
  </si>
  <si>
    <t>BCDEGIJK</t>
  </si>
  <si>
    <t>BCDEGHKL</t>
  </si>
  <si>
    <t>BCDEGHJL</t>
  </si>
  <si>
    <t>BCDEGHJK</t>
  </si>
  <si>
    <t>BCDEGHIL</t>
  </si>
  <si>
    <t>BCDEGHIK</t>
  </si>
  <si>
    <t>BCDEGHIJ</t>
  </si>
  <si>
    <t>BCDEFJKL</t>
  </si>
  <si>
    <t>BCDEFIKL</t>
  </si>
  <si>
    <t>BCDEFIJL</t>
  </si>
  <si>
    <t>BCDEFIJK</t>
  </si>
  <si>
    <t>BCDEFHKL</t>
  </si>
  <si>
    <t>BCDEFHJL</t>
  </si>
  <si>
    <t>BCDEFHJK</t>
  </si>
  <si>
    <t>BCDEFHIL</t>
  </si>
  <si>
    <t>BCDEFHIK</t>
  </si>
  <si>
    <t>BCDEFHIJ</t>
  </si>
  <si>
    <t>BCDEFGKL</t>
  </si>
  <si>
    <t>BCDEFGJL</t>
  </si>
  <si>
    <t>BCDEFGJK</t>
  </si>
  <si>
    <t>BCDEFGIL</t>
  </si>
  <si>
    <t>BCDEFGIK</t>
  </si>
  <si>
    <t>BCDEFGIJ</t>
  </si>
  <si>
    <t>BCDEFGHL</t>
  </si>
  <si>
    <t>BCDEFGHK</t>
  </si>
  <si>
    <t>BCDEFGHJ</t>
  </si>
  <si>
    <t>BCDEFGHI</t>
  </si>
  <si>
    <t>AFGHIJKL</t>
  </si>
  <si>
    <t>AEGHIJKL</t>
  </si>
  <si>
    <t>AEFHIJKL</t>
  </si>
  <si>
    <t>AEFGIJKL</t>
  </si>
  <si>
    <t>AEFGHJKL</t>
  </si>
  <si>
    <t>AEFGHIKL</t>
  </si>
  <si>
    <t>AEFGHIJL</t>
  </si>
  <si>
    <t>AEFGHIJK</t>
  </si>
  <si>
    <t>ADGHIJKL</t>
  </si>
  <si>
    <t>ADFHIJKL</t>
  </si>
  <si>
    <t>ADFGIJKL</t>
  </si>
  <si>
    <t>ADFGHJKL</t>
  </si>
  <si>
    <t>ADFGHIKL</t>
  </si>
  <si>
    <t>ADFGHIJL</t>
  </si>
  <si>
    <t>ADFGHIJK</t>
  </si>
  <si>
    <t>ADEHIJKL</t>
  </si>
  <si>
    <t>ADEGIJKL</t>
  </si>
  <si>
    <t>ADEGHJKL</t>
  </si>
  <si>
    <t>ADEGHIKL</t>
  </si>
  <si>
    <t>ADEGHIJL</t>
  </si>
  <si>
    <t>ADEGHIJK</t>
  </si>
  <si>
    <t>ADEFIJKL</t>
  </si>
  <si>
    <t>ADEFHJKL</t>
  </si>
  <si>
    <t>ADEFHIKL</t>
  </si>
  <si>
    <t>ADEFHIJL</t>
  </si>
  <si>
    <t>ADEFHIJK</t>
  </si>
  <si>
    <t>ADEFGJKL</t>
  </si>
  <si>
    <t>ADEFGIKL</t>
  </si>
  <si>
    <t>ADEFGIJL</t>
  </si>
  <si>
    <t>ADEFGIJK</t>
  </si>
  <si>
    <t>ADEFGHKL</t>
  </si>
  <si>
    <t>ADEFGHJL</t>
  </si>
  <si>
    <t>ADEFGHJK</t>
  </si>
  <si>
    <t>ADEFGHIL</t>
  </si>
  <si>
    <t>ADEFGHIK</t>
  </si>
  <si>
    <t>ADEFGHIJ</t>
  </si>
  <si>
    <t>ACGHIJKL</t>
  </si>
  <si>
    <t>ACFHIJKL</t>
  </si>
  <si>
    <t>ACFGIJKL</t>
  </si>
  <si>
    <t>ACFGHJKL</t>
  </si>
  <si>
    <t>ACFGHIKL</t>
  </si>
  <si>
    <t>ACFGHIJL</t>
  </si>
  <si>
    <t>ACFGHIJK</t>
  </si>
  <si>
    <t>ACEHIJKL</t>
  </si>
  <si>
    <t>ACEGIJKL</t>
  </si>
  <si>
    <t>ACEGHJKL</t>
  </si>
  <si>
    <t>ACEGHIKL</t>
  </si>
  <si>
    <t>ACEGHIJL</t>
  </si>
  <si>
    <t>ACEGHIJK</t>
  </si>
  <si>
    <t>ACEFIJKL</t>
  </si>
  <si>
    <t>ACEFHJKL</t>
  </si>
  <si>
    <t>ACEFHIKL</t>
  </si>
  <si>
    <t>ACEFHIJL</t>
  </si>
  <si>
    <t>ACEFHIJK</t>
  </si>
  <si>
    <t>ACEFGJKL</t>
  </si>
  <si>
    <t>ACEFGIKL</t>
  </si>
  <si>
    <t>ACEFGIJL</t>
  </si>
  <si>
    <t>ACEFGIJK</t>
  </si>
  <si>
    <t>ACEFGHKL</t>
  </si>
  <si>
    <t>ACEFGHJL</t>
  </si>
  <si>
    <t>ACEFGHJK</t>
  </si>
  <si>
    <t>ACEFGHIL</t>
  </si>
  <si>
    <t>ACEFGHIK</t>
  </si>
  <si>
    <t>ACEFGHIJ</t>
  </si>
  <si>
    <t>ACDHIJKL</t>
  </si>
  <si>
    <t>ACDGIJKL</t>
  </si>
  <si>
    <t>ACDGHJKL</t>
  </si>
  <si>
    <t>ACDGHIKL</t>
  </si>
  <si>
    <t>ACDGHIJL</t>
  </si>
  <si>
    <t>ACDGHIJK</t>
  </si>
  <si>
    <t>ACDFIJKL</t>
  </si>
  <si>
    <t>ACDFHJKL</t>
  </si>
  <si>
    <t>ACDFHIKL</t>
  </si>
  <si>
    <t>ACDFHIJL</t>
  </si>
  <si>
    <t>ACDFHIJK</t>
  </si>
  <si>
    <t>ACDFGJKL</t>
  </si>
  <si>
    <t>ACDFGIKL</t>
  </si>
  <si>
    <t>ACDFGIJL</t>
  </si>
  <si>
    <t>ACDFGIJK</t>
  </si>
  <si>
    <t>ACDFGHKL</t>
  </si>
  <si>
    <t>ACDFGHJL</t>
  </si>
  <si>
    <t>ACDFGHJK</t>
  </si>
  <si>
    <t>ACDFGHIL</t>
  </si>
  <si>
    <t>ACDFGHIK</t>
  </si>
  <si>
    <t>ACDFGHIJ</t>
  </si>
  <si>
    <t>ACDEIJKL</t>
  </si>
  <si>
    <t>ACDEHJKL</t>
  </si>
  <si>
    <t>ACDEHIKL</t>
  </si>
  <si>
    <t>ACDEHIJL</t>
  </si>
  <si>
    <t>ACDEHIJK</t>
  </si>
  <si>
    <t>ACDEGJKL</t>
  </si>
  <si>
    <t>ACDEGIKL</t>
  </si>
  <si>
    <t>ACDEGIJL</t>
  </si>
  <si>
    <t>ACDEGIJK</t>
  </si>
  <si>
    <t>ACDEGHKL</t>
  </si>
  <si>
    <t>ACDEGHJL</t>
  </si>
  <si>
    <t>ACDEGHJK</t>
  </si>
  <si>
    <t>ACDEGHIL</t>
  </si>
  <si>
    <t>ACDEGHIK</t>
  </si>
  <si>
    <t>ACDEGHIJ</t>
  </si>
  <si>
    <t>ACDEFJKL</t>
  </si>
  <si>
    <t>ACDEFIKL</t>
  </si>
  <si>
    <t>ACDEFIJL</t>
  </si>
  <si>
    <t>ACDEFIJK</t>
  </si>
  <si>
    <t>ACDEFHKL</t>
  </si>
  <si>
    <t>ACDEFHJL</t>
  </si>
  <si>
    <t>ACDEFHJK</t>
  </si>
  <si>
    <t>ACDEFHIL</t>
  </si>
  <si>
    <t>ACDEFHIK</t>
  </si>
  <si>
    <t>ACDEFHIJ</t>
  </si>
  <si>
    <t>ACDEFGKL</t>
  </si>
  <si>
    <t>ACDEFGJL</t>
  </si>
  <si>
    <t>ACDEFGJK</t>
  </si>
  <si>
    <t>ACDEFGIL</t>
  </si>
  <si>
    <t>ACDEFGIK</t>
  </si>
  <si>
    <t>ACDEFGIJ</t>
  </si>
  <si>
    <t>ACDEFGHL</t>
  </si>
  <si>
    <t>ACDEFGHK</t>
  </si>
  <si>
    <t>ACDEFGHJ</t>
  </si>
  <si>
    <t>ACDEFGHI</t>
  </si>
  <si>
    <t>ABGHIJKL</t>
  </si>
  <si>
    <t>ABFHIJKL</t>
  </si>
  <si>
    <t>ABFGIJKL</t>
  </si>
  <si>
    <t>ABFGHJKL</t>
  </si>
  <si>
    <t>ABFGHIKL</t>
  </si>
  <si>
    <t>ABFGHIJL</t>
  </si>
  <si>
    <t>ABFGHIJK</t>
  </si>
  <si>
    <t>ABEHIJKL</t>
  </si>
  <si>
    <t>ABEGIJKL</t>
  </si>
  <si>
    <t>ABEGHJKL</t>
  </si>
  <si>
    <t>ABEGHIKL</t>
  </si>
  <si>
    <t>ABEGHIJL</t>
  </si>
  <si>
    <t>ABEGHIJK</t>
  </si>
  <si>
    <t>ABEFIJKL</t>
  </si>
  <si>
    <t>ABEFHJKL</t>
  </si>
  <si>
    <t>ABEFHIKL</t>
  </si>
  <si>
    <t>ABEFHIJL</t>
  </si>
  <si>
    <t>ABEFHIJK</t>
  </si>
  <si>
    <t>ABEFGJKL</t>
  </si>
  <si>
    <t>ABEFGIKL</t>
  </si>
  <si>
    <t>ABEFGIJL</t>
  </si>
  <si>
    <t>ABEFGIJK</t>
  </si>
  <si>
    <t>ABEFGHKL</t>
  </si>
  <si>
    <t>ABEFGHJL</t>
  </si>
  <si>
    <t>ABEFGHJK</t>
  </si>
  <si>
    <t>ABEFGHIL</t>
  </si>
  <si>
    <t>ABEFGHIK</t>
  </si>
  <si>
    <t>ABEFGHIJ</t>
  </si>
  <si>
    <t>ABDHIJKL</t>
  </si>
  <si>
    <t>ABDGIJKL</t>
  </si>
  <si>
    <t>ABDGHJKL</t>
  </si>
  <si>
    <t>ABDGHIKL</t>
  </si>
  <si>
    <t>ABDGHIJL</t>
  </si>
  <si>
    <t>ABDGHIJK</t>
  </si>
  <si>
    <t>ABDFIJKL</t>
  </si>
  <si>
    <t>ABDFHJKL</t>
  </si>
  <si>
    <t>ABDFHIKL</t>
  </si>
  <si>
    <t>ABDFHIJL</t>
  </si>
  <si>
    <t>ABDFHIJK</t>
  </si>
  <si>
    <t>ABDFGJKL</t>
  </si>
  <si>
    <t>ABDFGIKL</t>
  </si>
  <si>
    <t>ABDFGIJL</t>
  </si>
  <si>
    <t>ABDFGIJK</t>
  </si>
  <si>
    <t>ABDFGHKL</t>
  </si>
  <si>
    <t>ABDFGHJL</t>
  </si>
  <si>
    <t>ABDFGHJK</t>
  </si>
  <si>
    <t>ABDFGHIL</t>
  </si>
  <si>
    <t>ABDFGHIK</t>
  </si>
  <si>
    <t>ABDFGHIJ</t>
  </si>
  <si>
    <t>ABDEIJKL</t>
  </si>
  <si>
    <t>ABDEHJKL</t>
  </si>
  <si>
    <t>ABDEHIKL</t>
  </si>
  <si>
    <t>ABDEHIJL</t>
  </si>
  <si>
    <t>ABDEHIJK</t>
  </si>
  <si>
    <t>ABDEGJKL</t>
  </si>
  <si>
    <t>ABDEGIKL</t>
  </si>
  <si>
    <t>ABDEGIJL</t>
  </si>
  <si>
    <t>ABDEGIJK</t>
  </si>
  <si>
    <t>ABDEGHKL</t>
  </si>
  <si>
    <t>ABDEGHJL</t>
  </si>
  <si>
    <t>ABDEGHJK</t>
  </si>
  <si>
    <t>ABDEGHIL</t>
  </si>
  <si>
    <t>ABDEGHIK</t>
  </si>
  <si>
    <t>ABDEGHIJ</t>
  </si>
  <si>
    <t>ABDEFJKL</t>
  </si>
  <si>
    <t>ABDEFIKL</t>
  </si>
  <si>
    <t>ABDEFIJL</t>
  </si>
  <si>
    <t>ABDEFIJK</t>
  </si>
  <si>
    <t>ABDEFHKL</t>
  </si>
  <si>
    <t>ABDEFHJL</t>
  </si>
  <si>
    <t>ABDEFHJK</t>
  </si>
  <si>
    <t>ABDEFHIL</t>
  </si>
  <si>
    <t>ABDEFHIK</t>
  </si>
  <si>
    <t>ABDEFHIJ</t>
  </si>
  <si>
    <t>ABDEFGKL</t>
  </si>
  <si>
    <t>ABDEFGJL</t>
  </si>
  <si>
    <t>ABDEFGJK</t>
  </si>
  <si>
    <t>ABDEFGIL</t>
  </si>
  <si>
    <t>ABDEFGIK</t>
  </si>
  <si>
    <t>ABDEFGIJ</t>
  </si>
  <si>
    <t>ABDEFGHL</t>
  </si>
  <si>
    <t>ABDEFGHK</t>
  </si>
  <si>
    <t>ABDEFGHJ</t>
  </si>
  <si>
    <t>ABDEFGHI</t>
  </si>
  <si>
    <t>ABCHIJKL</t>
  </si>
  <si>
    <t>ABCGIJKL</t>
  </si>
  <si>
    <t>ABCGHJKL</t>
  </si>
  <si>
    <t>ABCGHIKL</t>
  </si>
  <si>
    <t>ABCGHIJL</t>
  </si>
  <si>
    <t>ABCGHIJK</t>
  </si>
  <si>
    <t>ABCFIJKL</t>
  </si>
  <si>
    <t>ABCFHJKL</t>
  </si>
  <si>
    <t>ABCFHIKL</t>
  </si>
  <si>
    <t>ABCFHIJL</t>
  </si>
  <si>
    <t>ABCFHIJK</t>
  </si>
  <si>
    <t>ABCFGJKL</t>
  </si>
  <si>
    <t>ABCFGIKL</t>
  </si>
  <si>
    <t>ABCFGIJL</t>
  </si>
  <si>
    <t>ABCFGIJK</t>
  </si>
  <si>
    <t>ABCFGHKL</t>
  </si>
  <si>
    <t>ABCFGHJL</t>
  </si>
  <si>
    <t>ABCFGHJK</t>
  </si>
  <si>
    <t>ABCFGHIL</t>
  </si>
  <si>
    <t>ABCFGHIK</t>
  </si>
  <si>
    <t>ABCFGHIJ</t>
  </si>
  <si>
    <t>ABCEIJKL</t>
  </si>
  <si>
    <t>ABCEHJKL</t>
  </si>
  <si>
    <t>ABCEHIKL</t>
  </si>
  <si>
    <t>ABCEHIJL</t>
  </si>
  <si>
    <t>ABCEHIJK</t>
  </si>
  <si>
    <t>ABCEGJKL</t>
  </si>
  <si>
    <t>ABCEGIKL</t>
  </si>
  <si>
    <t>ABCEGIJL</t>
  </si>
  <si>
    <t>ABCEGIJK</t>
  </si>
  <si>
    <t>ABCEGHKL</t>
  </si>
  <si>
    <t>ABCEGHJL</t>
  </si>
  <si>
    <t>ABCEGHJK</t>
  </si>
  <si>
    <t>ABCEGHIL</t>
  </si>
  <si>
    <t>ABCEGHIK</t>
  </si>
  <si>
    <t>ABCEGHIJ</t>
  </si>
  <si>
    <t>ABCEFJKL</t>
  </si>
  <si>
    <t>ABCEFIKL</t>
  </si>
  <si>
    <t>ABCEFIJL</t>
  </si>
  <si>
    <t>ABCEFIJK</t>
  </si>
  <si>
    <t>ABCEFHKL</t>
  </si>
  <si>
    <t>ABCEFHJL</t>
  </si>
  <si>
    <t>ABCEFHJK</t>
  </si>
  <si>
    <t>ABCEFHIL</t>
  </si>
  <si>
    <t>ABCEFHIK</t>
  </si>
  <si>
    <t>ABCEFHIJ</t>
  </si>
  <si>
    <t>ABCEFGKL</t>
  </si>
  <si>
    <t>ABCEFGJL</t>
  </si>
  <si>
    <t>ABCEFGJK</t>
  </si>
  <si>
    <t>ABCEFGIL</t>
  </si>
  <si>
    <t>ABCEFGIK</t>
  </si>
  <si>
    <t>ABCEFGIJ</t>
  </si>
  <si>
    <t>ABCEFGHL</t>
  </si>
  <si>
    <t>ABCEFGHK</t>
  </si>
  <si>
    <t>ABCEFGHJ</t>
  </si>
  <si>
    <t>ABCEFGHI</t>
  </si>
  <si>
    <t>ABCDIJKL</t>
  </si>
  <si>
    <t>ABCDHJKL</t>
  </si>
  <si>
    <t>ABCDHIKL</t>
  </si>
  <si>
    <t>ABCDHIJL</t>
  </si>
  <si>
    <t>ABCDHIJK</t>
  </si>
  <si>
    <t>ABCDGJKL</t>
  </si>
  <si>
    <t>ABCDGIKL</t>
  </si>
  <si>
    <t>ABCDGIJL</t>
  </si>
  <si>
    <t>ABCDGIJK</t>
  </si>
  <si>
    <t>ABCDGHKL</t>
  </si>
  <si>
    <t>ABCDGHJL</t>
  </si>
  <si>
    <t>ABCDGHJK</t>
  </si>
  <si>
    <t>ABCDGHIL</t>
  </si>
  <si>
    <t>ABCDGHIK</t>
  </si>
  <si>
    <t>ABCDGHIJ</t>
  </si>
  <si>
    <t>ABCDFJKL</t>
  </si>
  <si>
    <t>ABCDFIKL</t>
  </si>
  <si>
    <t>ABCDFIJL</t>
  </si>
  <si>
    <t>ABCDFIJK</t>
  </si>
  <si>
    <t>ABCDFHKL</t>
  </si>
  <si>
    <t>ABCDFHJL</t>
  </si>
  <si>
    <t>ABCDFHJK</t>
  </si>
  <si>
    <t>ABCDFHIL</t>
  </si>
  <si>
    <t>ABCDFHIK</t>
  </si>
  <si>
    <t>ABCDFHIJ</t>
  </si>
  <si>
    <t>ABCDFGKL</t>
  </si>
  <si>
    <t>ABCDFGJL</t>
  </si>
  <si>
    <t>ABCDFGJK</t>
  </si>
  <si>
    <t>ABCDFGIL</t>
  </si>
  <si>
    <t>ABCDFGIK</t>
  </si>
  <si>
    <t>ABCDFGIJ</t>
  </si>
  <si>
    <t>ABCDFGHL</t>
  </si>
  <si>
    <t>ABCDFGHK</t>
  </si>
  <si>
    <t>ABCDFGHJ</t>
  </si>
  <si>
    <t>ABCDFGHI</t>
  </si>
  <si>
    <t>ABCDEJKL</t>
  </si>
  <si>
    <t>ABCDEIKL</t>
  </si>
  <si>
    <t>ABCDEIJL</t>
  </si>
  <si>
    <t>ABCDEIJK</t>
  </si>
  <si>
    <t>ABCDEHKL</t>
  </si>
  <si>
    <t>ABCDEHJL</t>
  </si>
  <si>
    <t>ABCDEHJK</t>
  </si>
  <si>
    <t>ABCDEHIL</t>
  </si>
  <si>
    <t>ABCDEHIK</t>
  </si>
  <si>
    <t>ABCDEHIJ</t>
  </si>
  <si>
    <t>ABCDEGKL</t>
  </si>
  <si>
    <t>ABCDEGJL</t>
  </si>
  <si>
    <t>ABCDEGJK</t>
  </si>
  <si>
    <t>ABCDEGIL</t>
  </si>
  <si>
    <t>ABCDEGIK</t>
  </si>
  <si>
    <t>ABCDEGIJ</t>
  </si>
  <si>
    <t>ABCDEGHL</t>
  </si>
  <si>
    <t>ABCDEGHK</t>
  </si>
  <si>
    <t>ABCDEGHJ</t>
  </si>
  <si>
    <t>ABCDEGHI</t>
  </si>
  <si>
    <t>ABCDEFKL</t>
  </si>
  <si>
    <t>ABCDEFJL</t>
  </si>
  <si>
    <t>ABCDEFJK</t>
  </si>
  <si>
    <t>ABCDEFIL</t>
  </si>
  <si>
    <t>ABCDEFIK</t>
  </si>
  <si>
    <t>ABCDEFIJ</t>
  </si>
  <si>
    <t>ABCDEFHL</t>
  </si>
  <si>
    <t>ABCDEFHK</t>
  </si>
  <si>
    <t>ABCDEFHJ</t>
  </si>
  <si>
    <t>ABCDEFHI</t>
  </si>
  <si>
    <t>ABCDEFGL</t>
  </si>
  <si>
    <t>ABCDEFGK</t>
  </si>
  <si>
    <t>ABCDEFGJ</t>
  </si>
  <si>
    <t>ABCDEFGI</t>
  </si>
  <si>
    <t>ABCDEFGH</t>
  </si>
  <si>
    <r>
      <t xml:space="preserve">World Cup 2026
Interactive Schedule Online
</t>
    </r>
    <r>
      <rPr>
        <u/>
        <sz val="16"/>
        <color theme="4"/>
        <rFont val="Calibri"/>
        <family val="2"/>
        <charset val="204"/>
        <scheme val="minor"/>
      </rPr>
      <t>www.wallchart.io</t>
    </r>
  </si>
  <si>
    <r>
      <t xml:space="preserve">Home Page: </t>
    </r>
    <r>
      <rPr>
        <u/>
        <sz val="14"/>
        <color theme="4"/>
        <rFont val="Calibri"/>
        <family val="2"/>
        <charset val="204"/>
        <scheme val="minor"/>
      </rPr>
      <t>www.excely.com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</si>
</sst>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;;;"/>
  </numFmts>
  <fonts count="22" x14ac:knownFonts="1">
    <font>
      <sz val="11"/>
      <color theme="1"/>
      <name val="Calibri"/>
      <family val="2"/>
      <scheme val="minor"/>
    </font>
    <font>
      <sz val="10"/>
      <name val="Calibri"/>
      <family val="2"/>
      <charset val="204"/>
    </font>
    <font>
      <u/>
      <sz val="11"/>
      <color theme="10"/>
      <name val="Calibri"/>
      <family val="2"/>
      <scheme val="minor"/>
    </font>
    <font>
      <sz val="36"/>
      <name val="Calibri"/>
      <family val="2"/>
      <charset val="204"/>
    </font>
    <font>
      <sz val="10"/>
      <color indexed="12"/>
      <name val="Calibri"/>
      <family val="2"/>
      <charset val="204"/>
    </font>
    <font>
      <sz val="14"/>
      <name val="Calibri"/>
      <family val="2"/>
      <charset val="204"/>
      <scheme val="minor"/>
    </font>
    <font>
      <u/>
      <sz val="8"/>
      <color indexed="12"/>
      <name val="Calibri"/>
      <family val="2"/>
      <charset val="204"/>
    </font>
    <font>
      <sz val="16"/>
      <color theme="0"/>
      <name val="Calibri"/>
      <family val="2"/>
      <charset val="204"/>
      <scheme val="minor"/>
    </font>
    <font>
      <b/>
      <sz val="10"/>
      <color theme="0"/>
      <name val="Calibri"/>
      <family val="2"/>
      <charset val="204"/>
    </font>
    <font>
      <sz val="16"/>
      <color theme="0"/>
      <name val="Calibri"/>
      <family val="2"/>
      <charset val="204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charset val="204"/>
    </font>
    <font>
      <sz val="8"/>
      <name val="Calibri"/>
      <family val="2"/>
      <charset val="204"/>
    </font>
    <font>
      <u/>
      <sz val="16"/>
      <color theme="4"/>
      <name val="Calibri"/>
      <family val="2"/>
      <charset val="204"/>
      <scheme val="minor"/>
    </font>
    <font>
      <sz val="10"/>
      <color rgb="FFFF0000"/>
      <name val="Calibri"/>
      <family val="2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charset val="204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0"/>
      <name val="Calibri"/>
      <family val="2"/>
    </font>
    <font>
      <u/>
      <sz val="14"/>
      <color theme="4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</fills>
  <borders count="96">
    <border>
      <left/>
      <right/>
      <top/>
      <bottom/>
      <diagonal/>
    </border>
    <border>
      <left style="thin">
        <color theme="3" tint="0.39991454817346722"/>
      </left>
      <right/>
      <top style="thin">
        <color theme="3" tint="0.39991454817346722"/>
      </top>
      <bottom/>
      <diagonal/>
    </border>
    <border>
      <left/>
      <right/>
      <top style="thin">
        <color theme="3" tint="0.39991454817346722"/>
      </top>
      <bottom/>
      <diagonal/>
    </border>
    <border>
      <left/>
      <right style="thin">
        <color theme="3" tint="0.39991454817346722"/>
      </right>
      <top style="thin">
        <color theme="3" tint="0.39991454817346722"/>
      </top>
      <bottom/>
      <diagonal/>
    </border>
    <border>
      <left style="thin">
        <color theme="3" tint="0.39991454817346722"/>
      </left>
      <right/>
      <top/>
      <bottom style="thin">
        <color theme="3" tint="0.39991454817346722"/>
      </bottom>
      <diagonal/>
    </border>
    <border>
      <left/>
      <right/>
      <top/>
      <bottom style="thin">
        <color theme="3" tint="0.39991454817346722"/>
      </bottom>
      <diagonal/>
    </border>
    <border>
      <left/>
      <right style="thin">
        <color theme="3" tint="0.39991454817346722"/>
      </right>
      <top/>
      <bottom style="thin">
        <color theme="3" tint="0.39991454817346722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48"/>
      </left>
      <right/>
      <top style="thin">
        <color theme="3" tint="0.39991454817346722"/>
      </top>
      <bottom style="hair">
        <color indexed="48"/>
      </bottom>
      <diagonal/>
    </border>
    <border>
      <left/>
      <right/>
      <top style="thin">
        <color theme="3" tint="0.39991454817346722"/>
      </top>
      <bottom style="hair">
        <color indexed="48"/>
      </bottom>
      <diagonal/>
    </border>
    <border>
      <left/>
      <right style="hair">
        <color indexed="48"/>
      </right>
      <top style="thin">
        <color theme="3" tint="0.39991454817346722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thin">
        <color theme="3" tint="0.39991454817346722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thin">
        <color theme="3" tint="0.39991454817346722"/>
      </top>
      <bottom style="hair">
        <color indexed="48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indexed="48"/>
      </left>
      <right/>
      <top style="hair">
        <color indexed="48"/>
      </top>
      <bottom style="hair">
        <color indexed="48"/>
      </bottom>
      <diagonal/>
    </border>
    <border>
      <left/>
      <right/>
      <top style="hair">
        <color indexed="48"/>
      </top>
      <bottom style="hair">
        <color indexed="48"/>
      </bottom>
      <diagonal/>
    </border>
    <border>
      <left/>
      <right style="hair">
        <color indexed="48"/>
      </right>
      <top style="hair">
        <color indexed="48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hair">
        <color indexed="48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hair">
        <color indexed="48"/>
      </top>
      <bottom style="hair">
        <color indexed="48"/>
      </bottom>
      <diagonal/>
    </border>
    <border>
      <left/>
      <right/>
      <top/>
      <bottom style="thin">
        <color indexed="48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/>
      <diagonal/>
    </border>
    <border>
      <left style="thin">
        <color indexed="48"/>
      </left>
      <right/>
      <top style="thin">
        <color indexed="48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thin">
        <color indexed="48"/>
      </top>
      <bottom style="hair">
        <color indexed="48"/>
      </bottom>
      <diagonal/>
    </border>
    <border>
      <left style="thin">
        <color indexed="48"/>
      </left>
      <right style="thin">
        <color indexed="48"/>
      </right>
      <top/>
      <bottom style="thin">
        <color indexed="48"/>
      </bottom>
      <diagonal/>
    </border>
    <border>
      <left style="thin">
        <color indexed="48"/>
      </left>
      <right/>
      <top style="hair">
        <color indexed="48"/>
      </top>
      <bottom style="thin">
        <color indexed="48"/>
      </bottom>
      <diagonal/>
    </border>
    <border>
      <left style="hair">
        <color indexed="48"/>
      </left>
      <right style="thin">
        <color indexed="48"/>
      </right>
      <top style="hair">
        <color indexed="48"/>
      </top>
      <bottom style="thin">
        <color indexed="48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3" tint="0.39994506668294322"/>
      </left>
      <right/>
      <top style="thin">
        <color theme="3" tint="0.39991454817346722"/>
      </top>
      <bottom/>
      <diagonal/>
    </border>
    <border>
      <left/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/>
      <top/>
      <bottom/>
      <diagonal/>
    </border>
    <border>
      <left/>
      <right style="thin">
        <color theme="3" tint="0.39988402966399123"/>
      </right>
      <top style="thin">
        <color theme="3" tint="0.39991454817346722"/>
      </top>
      <bottom/>
      <diagonal/>
    </border>
    <border>
      <left/>
      <right style="thin">
        <color theme="3" tint="0.39988402966399123"/>
      </right>
      <top/>
      <bottom style="thin">
        <color theme="3" tint="0.39991454817346722"/>
      </bottom>
      <diagonal/>
    </border>
    <border>
      <left/>
      <right style="thin">
        <color theme="3" tint="0.39988402966399123"/>
      </right>
      <top/>
      <bottom style="hair">
        <color indexed="48"/>
      </bottom>
      <diagonal/>
    </border>
    <border>
      <left/>
      <right style="thin">
        <color theme="3" tint="0.39988402966399123"/>
      </right>
      <top style="hair">
        <color indexed="48"/>
      </top>
      <bottom style="hair">
        <color indexed="48"/>
      </bottom>
      <diagonal/>
    </border>
    <border>
      <left style="thin">
        <color rgb="FF3366FF"/>
      </left>
      <right/>
      <top style="thin">
        <color rgb="FF3366FF"/>
      </top>
      <bottom style="thin">
        <color rgb="FF3366FF"/>
      </bottom>
      <diagonal/>
    </border>
    <border>
      <left style="thin">
        <color rgb="FF3366FF"/>
      </left>
      <right style="hair">
        <color indexed="12"/>
      </right>
      <top style="thin">
        <color rgb="FF3366FF"/>
      </top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thin">
        <color rgb="FF3366FF"/>
      </top>
      <bottom style="hair">
        <color indexed="12"/>
      </bottom>
      <diagonal/>
    </border>
    <border>
      <left style="hair">
        <color indexed="12"/>
      </left>
      <right style="thin">
        <color rgb="FF3366FF"/>
      </right>
      <top style="thin">
        <color rgb="FF3366FF"/>
      </top>
      <bottom style="hair">
        <color indexed="12"/>
      </bottom>
      <diagonal/>
    </border>
    <border>
      <left style="thin">
        <color rgb="FF3366FF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thin">
        <color rgb="FF3366FF"/>
      </right>
      <top style="hair">
        <color indexed="12"/>
      </top>
      <bottom style="hair">
        <color indexed="12"/>
      </bottom>
      <diagonal/>
    </border>
    <border>
      <left style="thin">
        <color rgb="FF3366FF"/>
      </left>
      <right style="hair">
        <color indexed="12"/>
      </right>
      <top style="hair">
        <color indexed="12"/>
      </top>
      <bottom style="thin">
        <color rgb="FF3366FF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rgb="FF3366FF"/>
      </bottom>
      <diagonal/>
    </border>
    <border>
      <left style="hair">
        <color indexed="12"/>
      </left>
      <right style="thin">
        <color rgb="FF3366FF"/>
      </right>
      <top style="hair">
        <color indexed="12"/>
      </top>
      <bottom style="thin">
        <color rgb="FF3366FF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hair">
        <color indexed="48"/>
      </left>
      <right style="hair">
        <color indexed="48"/>
      </right>
      <top style="thin">
        <color indexed="48"/>
      </top>
      <bottom style="hair">
        <color indexed="48"/>
      </bottom>
      <diagonal/>
    </border>
    <border>
      <left style="hair">
        <color indexed="48"/>
      </left>
      <right style="hair">
        <color indexed="48"/>
      </right>
      <top style="hair">
        <color indexed="48"/>
      </top>
      <bottom style="thin">
        <color indexed="48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rgb="FF000000"/>
      </left>
      <right style="dashed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ashed">
        <color rgb="FF000000"/>
      </right>
      <top style="thin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thin">
        <color rgb="FF000000"/>
      </top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 style="thin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theme="4"/>
      </left>
      <right style="dashed">
        <color theme="4"/>
      </right>
      <top style="dashed">
        <color theme="4"/>
      </top>
      <bottom style="dashed">
        <color theme="4"/>
      </bottom>
      <diagonal/>
    </border>
    <border>
      <left style="thin">
        <color rgb="FF3366FF"/>
      </left>
      <right/>
      <top style="thin">
        <color rgb="FF3366FF"/>
      </top>
      <bottom/>
      <diagonal/>
    </border>
    <border>
      <left/>
      <right/>
      <top style="thin">
        <color rgb="FF3366FF"/>
      </top>
      <bottom/>
      <diagonal/>
    </border>
    <border>
      <left/>
      <right style="thin">
        <color rgb="FF3366FF"/>
      </right>
      <top style="thin">
        <color rgb="FF3366FF"/>
      </top>
      <bottom/>
      <diagonal/>
    </border>
    <border>
      <left style="thin">
        <color theme="4"/>
      </left>
      <right style="dashed">
        <color theme="4"/>
      </right>
      <top style="thin">
        <color theme="4"/>
      </top>
      <bottom style="dashed">
        <color theme="4"/>
      </bottom>
      <diagonal/>
    </border>
    <border>
      <left style="dashed">
        <color theme="4"/>
      </left>
      <right style="dashed">
        <color theme="4"/>
      </right>
      <top style="thin">
        <color theme="4"/>
      </top>
      <bottom style="dashed">
        <color theme="4"/>
      </bottom>
      <diagonal/>
    </border>
    <border>
      <left style="dashed">
        <color theme="4"/>
      </left>
      <right style="thin">
        <color theme="4"/>
      </right>
      <top style="thin">
        <color theme="4"/>
      </top>
      <bottom style="dashed">
        <color theme="4"/>
      </bottom>
      <diagonal/>
    </border>
    <border>
      <left style="thin">
        <color theme="4"/>
      </left>
      <right style="dashed">
        <color theme="4"/>
      </right>
      <top style="dashed">
        <color theme="4"/>
      </top>
      <bottom style="dashed">
        <color theme="4"/>
      </bottom>
      <diagonal/>
    </border>
    <border>
      <left style="dashed">
        <color theme="4"/>
      </left>
      <right style="thin">
        <color theme="4"/>
      </right>
      <top style="dashed">
        <color theme="4"/>
      </top>
      <bottom style="dashed">
        <color theme="4"/>
      </bottom>
      <diagonal/>
    </border>
    <border>
      <left style="thin">
        <color theme="4"/>
      </left>
      <right style="dashed">
        <color theme="4"/>
      </right>
      <top style="dashed">
        <color theme="4"/>
      </top>
      <bottom style="thin">
        <color theme="4"/>
      </bottom>
      <diagonal/>
    </border>
    <border>
      <left style="dashed">
        <color theme="4"/>
      </left>
      <right style="dashed">
        <color theme="4"/>
      </right>
      <top style="dashed">
        <color theme="4"/>
      </top>
      <bottom style="thin">
        <color theme="4"/>
      </bottom>
      <diagonal/>
    </border>
    <border>
      <left style="dashed">
        <color theme="4"/>
      </left>
      <right style="thin">
        <color theme="4"/>
      </right>
      <top style="dashed">
        <color theme="4"/>
      </top>
      <bottom style="thin">
        <color theme="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1" fillId="6" borderId="51" applyNumberFormat="0" applyFont="0" applyAlignment="0" applyProtection="0"/>
  </cellStyleXfs>
  <cellXfs count="161">
    <xf numFmtId="0" fontId="0" fillId="0" borderId="0" xfId="0"/>
    <xf numFmtId="0" fontId="1" fillId="0" borderId="0" xfId="0" applyFont="1"/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vertical="center" shrinkToFit="1"/>
      <protection hidden="1"/>
    </xf>
    <xf numFmtId="0" fontId="0" fillId="0" borderId="0" xfId="0" applyAlignment="1" applyProtection="1">
      <alignment horizontal="center" vertical="center" shrinkToFit="1"/>
      <protection hidden="1"/>
    </xf>
    <xf numFmtId="0" fontId="0" fillId="0" borderId="0" xfId="0" applyProtection="1">
      <protection hidden="1"/>
    </xf>
    <xf numFmtId="0" fontId="0" fillId="3" borderId="10" xfId="0" applyFill="1" applyBorder="1" applyAlignment="1" applyProtection="1">
      <alignment horizontal="center" vertical="center" shrinkToFit="1"/>
      <protection hidden="1"/>
    </xf>
    <xf numFmtId="0" fontId="1" fillId="3" borderId="11" xfId="0" applyFont="1" applyFill="1" applyBorder="1" applyAlignment="1" applyProtection="1">
      <alignment horizontal="center" vertical="center" shrinkToFit="1"/>
      <protection hidden="1"/>
    </xf>
    <xf numFmtId="0" fontId="0" fillId="3" borderId="11" xfId="0" applyFill="1" applyBorder="1" applyAlignment="1" applyProtection="1">
      <alignment horizontal="center" vertical="center" shrinkToFit="1"/>
      <protection hidden="1"/>
    </xf>
    <xf numFmtId="0" fontId="1" fillId="4" borderId="14" xfId="0" applyFont="1" applyFill="1" applyBorder="1" applyAlignment="1" applyProtection="1">
      <alignment horizontal="center" vertical="center"/>
      <protection locked="0"/>
    </xf>
    <xf numFmtId="0" fontId="1" fillId="4" borderId="13" xfId="0" applyFont="1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 shrinkToFit="1"/>
      <protection hidden="1"/>
    </xf>
    <xf numFmtId="0" fontId="1" fillId="3" borderId="19" xfId="0" applyFont="1" applyFill="1" applyBorder="1" applyAlignment="1" applyProtection="1">
      <alignment horizontal="center" vertical="center" shrinkToFit="1"/>
      <protection hidden="1"/>
    </xf>
    <xf numFmtId="0" fontId="0" fillId="3" borderId="19" xfId="0" applyFill="1" applyBorder="1" applyAlignment="1" applyProtection="1">
      <alignment horizontal="center" vertical="center" shrinkToFit="1"/>
      <protection hidden="1"/>
    </xf>
    <xf numFmtId="0" fontId="1" fillId="4" borderId="22" xfId="0" applyFont="1" applyFill="1" applyBorder="1" applyAlignment="1" applyProtection="1">
      <alignment horizontal="center" vertical="center"/>
      <protection locked="0"/>
    </xf>
    <xf numFmtId="0" fontId="1" fillId="4" borderId="21" xfId="0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vertical="center"/>
      <protection hidden="1"/>
    </xf>
    <xf numFmtId="0" fontId="1" fillId="3" borderId="23" xfId="0" applyFont="1" applyFill="1" applyBorder="1" applyAlignment="1" applyProtection="1">
      <alignment horizontal="right" vertical="center"/>
      <protection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3" borderId="26" xfId="0" applyFill="1" applyBorder="1" applyAlignment="1" applyProtection="1">
      <alignment horizontal="left" vertical="center" shrinkToFit="1"/>
      <protection hidden="1"/>
    </xf>
    <xf numFmtId="0" fontId="1" fillId="4" borderId="27" xfId="0" applyFont="1" applyFill="1" applyBorder="1" applyAlignment="1" applyProtection="1">
      <alignment horizontal="center" vertical="center"/>
      <protection locked="0"/>
    </xf>
    <xf numFmtId="0" fontId="0" fillId="3" borderId="29" xfId="0" applyFill="1" applyBorder="1" applyAlignment="1" applyProtection="1">
      <alignment horizontal="left" vertical="center" shrinkToFit="1"/>
      <protection hidden="1"/>
    </xf>
    <xf numFmtId="0" fontId="1" fillId="4" borderId="30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right" vertical="center"/>
      <protection hidden="1"/>
    </xf>
    <xf numFmtId="0" fontId="0" fillId="3" borderId="0" xfId="0" applyFill="1" applyAlignment="1" applyProtection="1">
      <alignment horizontal="right" vertical="center"/>
      <protection hidden="1"/>
    </xf>
    <xf numFmtId="0" fontId="0" fillId="0" borderId="41" xfId="0" applyBorder="1" applyAlignment="1" applyProtection="1">
      <alignment vertical="center" shrinkToFit="1"/>
      <protection hidden="1"/>
    </xf>
    <xf numFmtId="0" fontId="0" fillId="0" borderId="42" xfId="0" applyBorder="1" applyAlignment="1" applyProtection="1">
      <alignment horizontal="center" vertical="center" shrinkToFit="1"/>
      <protection hidden="1"/>
    </xf>
    <xf numFmtId="0" fontId="0" fillId="0" borderId="43" xfId="0" applyBorder="1" applyAlignment="1" applyProtection="1">
      <alignment horizontal="center" vertical="center" shrinkToFit="1"/>
      <protection hidden="1"/>
    </xf>
    <xf numFmtId="0" fontId="0" fillId="0" borderId="44" xfId="0" applyBorder="1" applyAlignment="1" applyProtection="1">
      <alignment vertical="center" shrinkToFit="1"/>
      <protection hidden="1"/>
    </xf>
    <xf numFmtId="0" fontId="0" fillId="0" borderId="45" xfId="0" applyBorder="1" applyAlignment="1" applyProtection="1">
      <alignment horizontal="center" vertical="center" shrinkToFit="1"/>
      <protection hidden="1"/>
    </xf>
    <xf numFmtId="0" fontId="0" fillId="0" borderId="46" xfId="0" applyBorder="1" applyAlignment="1" applyProtection="1">
      <alignment vertical="center" shrinkToFit="1"/>
      <protection hidden="1"/>
    </xf>
    <xf numFmtId="0" fontId="0" fillId="0" borderId="47" xfId="0" applyBorder="1" applyAlignment="1" applyProtection="1">
      <alignment horizontal="center" vertical="center" shrinkToFit="1"/>
      <protection hidden="1"/>
    </xf>
    <xf numFmtId="0" fontId="0" fillId="0" borderId="48" xfId="0" applyBorder="1" applyAlignment="1" applyProtection="1">
      <alignment horizontal="center" vertical="center" shrinkToFit="1"/>
      <protection hidden="1"/>
    </xf>
    <xf numFmtId="0" fontId="8" fillId="5" borderId="40" xfId="0" applyFont="1" applyFill="1" applyBorder="1" applyAlignment="1" applyProtection="1">
      <alignment horizontal="center" vertical="center" shrinkToFit="1"/>
      <protection hidden="1"/>
    </xf>
    <xf numFmtId="0" fontId="12" fillId="7" borderId="52" xfId="0" applyFont="1" applyFill="1" applyBorder="1" applyAlignment="1" applyProtection="1">
      <alignment horizontal="left" indent="1"/>
      <protection hidden="1"/>
    </xf>
    <xf numFmtId="0" fontId="1" fillId="7" borderId="53" xfId="0" applyFont="1" applyFill="1" applyBorder="1" applyAlignment="1" applyProtection="1">
      <alignment horizontal="left"/>
      <protection hidden="1"/>
    </xf>
    <xf numFmtId="0" fontId="1" fillId="7" borderId="54" xfId="0" applyFont="1" applyFill="1" applyBorder="1" applyProtection="1">
      <protection hidden="1"/>
    </xf>
    <xf numFmtId="0" fontId="1" fillId="7" borderId="55" xfId="0" applyFont="1" applyFill="1" applyBorder="1" applyProtection="1">
      <protection hidden="1"/>
    </xf>
    <xf numFmtId="0" fontId="1" fillId="7" borderId="0" xfId="0" applyFont="1" applyFill="1" applyAlignment="1" applyProtection="1">
      <alignment horizontal="left"/>
      <protection hidden="1"/>
    </xf>
    <xf numFmtId="0" fontId="1" fillId="7" borderId="56" xfId="0" applyFont="1" applyFill="1" applyBorder="1" applyProtection="1">
      <protection hidden="1"/>
    </xf>
    <xf numFmtId="0" fontId="1" fillId="7" borderId="0" xfId="0" applyFont="1" applyFill="1" applyProtection="1">
      <protection hidden="1"/>
    </xf>
    <xf numFmtId="0" fontId="1" fillId="7" borderId="55" xfId="0" applyFont="1" applyFill="1" applyBorder="1" applyAlignment="1" applyProtection="1">
      <alignment horizontal="right"/>
      <protection hidden="1"/>
    </xf>
    <xf numFmtId="0" fontId="1" fillId="8" borderId="57" xfId="0" applyFont="1" applyFill="1" applyBorder="1" applyProtection="1">
      <protection hidden="1"/>
    </xf>
    <xf numFmtId="0" fontId="1" fillId="8" borderId="58" xfId="0" applyFont="1" applyFill="1" applyBorder="1" applyProtection="1">
      <protection hidden="1"/>
    </xf>
    <xf numFmtId="0" fontId="1" fillId="8" borderId="59" xfId="0" applyFont="1" applyFill="1" applyBorder="1" applyProtection="1">
      <protection hidden="1"/>
    </xf>
    <xf numFmtId="0" fontId="1" fillId="7" borderId="60" xfId="0" applyFont="1" applyFill="1" applyBorder="1" applyProtection="1">
      <protection hidden="1"/>
    </xf>
    <xf numFmtId="0" fontId="1" fillId="7" borderId="61" xfId="0" applyFont="1" applyFill="1" applyBorder="1" applyProtection="1">
      <protection hidden="1"/>
    </xf>
    <xf numFmtId="0" fontId="1" fillId="7" borderId="62" xfId="0" applyFont="1" applyFill="1" applyBorder="1" applyAlignment="1" applyProtection="1">
      <alignment horizontal="left"/>
      <protection hidden="1"/>
    </xf>
    <xf numFmtId="0" fontId="1" fillId="7" borderId="63" xfId="0" applyFont="1" applyFill="1" applyBorder="1" applyProtection="1">
      <protection hidden="1"/>
    </xf>
    <xf numFmtId="0" fontId="1" fillId="7" borderId="55" xfId="0" applyFont="1" applyFill="1" applyBorder="1" applyAlignment="1" applyProtection="1">
      <alignment horizontal="right" vertical="center"/>
      <protection hidden="1"/>
    </xf>
    <xf numFmtId="0" fontId="13" fillId="7" borderId="64" xfId="0" applyFont="1" applyFill="1" applyBorder="1" applyAlignment="1" applyProtection="1">
      <alignment horizontal="left" vertical="center"/>
      <protection hidden="1"/>
    </xf>
    <xf numFmtId="0" fontId="13" fillId="7" borderId="60" xfId="0" applyFont="1" applyFill="1" applyBorder="1" applyAlignment="1" applyProtection="1">
      <alignment horizontal="left" vertical="center"/>
      <protection hidden="1"/>
    </xf>
    <xf numFmtId="0" fontId="1" fillId="7" borderId="65" xfId="0" applyFont="1" applyFill="1" applyBorder="1" applyProtection="1">
      <protection hidden="1"/>
    </xf>
    <xf numFmtId="0" fontId="12" fillId="7" borderId="66" xfId="0" applyFont="1" applyFill="1" applyBorder="1" applyAlignment="1" applyProtection="1">
      <alignment horizontal="center"/>
      <protection hidden="1"/>
    </xf>
    <xf numFmtId="0" fontId="1" fillId="7" borderId="55" xfId="0" applyFont="1" applyFill="1" applyBorder="1" applyAlignment="1" applyProtection="1">
      <alignment horizontal="left" indent="1"/>
      <protection hidden="1"/>
    </xf>
    <xf numFmtId="0" fontId="1" fillId="6" borderId="51" xfId="2" applyFont="1" applyAlignment="1" applyProtection="1">
      <alignment horizontal="left" vertical="center" indent="1"/>
      <protection locked="0"/>
    </xf>
    <xf numFmtId="0" fontId="1" fillId="4" borderId="26" xfId="0" applyFont="1" applyFill="1" applyBorder="1" applyAlignment="1" applyProtection="1">
      <alignment horizontal="center" vertical="center"/>
      <protection locked="0"/>
    </xf>
    <xf numFmtId="0" fontId="1" fillId="4" borderId="29" xfId="0" applyFont="1" applyFill="1" applyBorder="1" applyAlignment="1" applyProtection="1">
      <alignment horizontal="center" vertical="center"/>
      <protection locked="0"/>
    </xf>
    <xf numFmtId="0" fontId="1" fillId="4" borderId="67" xfId="0" applyFont="1" applyFill="1" applyBorder="1" applyAlignment="1" applyProtection="1">
      <alignment horizontal="center" vertical="center"/>
      <protection locked="0"/>
    </xf>
    <xf numFmtId="0" fontId="1" fillId="4" borderId="68" xfId="0" applyFont="1" applyFill="1" applyBorder="1" applyAlignment="1" applyProtection="1">
      <alignment horizontal="center" vertical="center"/>
      <protection locked="0"/>
    </xf>
    <xf numFmtId="3" fontId="1" fillId="6" borderId="69" xfId="2" applyNumberFormat="1" applyFont="1" applyBorder="1" applyAlignment="1" applyProtection="1">
      <alignment horizontal="center"/>
      <protection locked="0"/>
    </xf>
    <xf numFmtId="3" fontId="1" fillId="6" borderId="70" xfId="2" applyNumberFormat="1" applyFont="1" applyBorder="1" applyAlignment="1" applyProtection="1">
      <alignment horizontal="center"/>
      <protection locked="0"/>
    </xf>
    <xf numFmtId="3" fontId="1" fillId="6" borderId="71" xfId="2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 shrinkToFit="1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 shrinkToFi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righ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16" fillId="0" borderId="0" xfId="0" applyFont="1" applyProtection="1">
      <protection hidden="1"/>
    </xf>
    <xf numFmtId="0" fontId="0" fillId="3" borderId="13" xfId="0" applyFill="1" applyBorder="1" applyAlignment="1" applyProtection="1">
      <alignment horizontal="right" vertical="center" indent="3" shrinkToFit="1"/>
      <protection hidden="1"/>
    </xf>
    <xf numFmtId="0" fontId="0" fillId="3" borderId="21" xfId="0" applyFill="1" applyBorder="1" applyAlignment="1" applyProtection="1">
      <alignment horizontal="right" vertical="center" indent="3" shrinkToFit="1"/>
      <protection hidden="1"/>
    </xf>
    <xf numFmtId="0" fontId="0" fillId="3" borderId="38" xfId="0" applyFill="1" applyBorder="1" applyAlignment="1" applyProtection="1">
      <alignment horizontal="left" vertical="center" indent="3" shrinkToFit="1"/>
      <protection hidden="1"/>
    </xf>
    <xf numFmtId="0" fontId="0" fillId="3" borderId="39" xfId="0" applyFill="1" applyBorder="1" applyAlignment="1" applyProtection="1">
      <alignment horizontal="left" vertical="center" indent="3" shrinkToFit="1"/>
      <protection hidden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72" xfId="0" applyBorder="1" applyAlignment="1">
      <alignment horizontal="center" vertical="center"/>
    </xf>
    <xf numFmtId="0" fontId="18" fillId="5" borderId="76" xfId="0" applyFont="1" applyFill="1" applyBorder="1" applyAlignment="1">
      <alignment horizontal="center" vertical="center"/>
    </xf>
    <xf numFmtId="0" fontId="18" fillId="5" borderId="77" xfId="0" applyFont="1" applyFill="1" applyBorder="1" applyAlignment="1">
      <alignment horizontal="center" vertical="center"/>
    </xf>
    <xf numFmtId="0" fontId="18" fillId="5" borderId="77" xfId="0" applyFont="1" applyFill="1" applyBorder="1" applyAlignment="1">
      <alignment horizontal="center" vertical="center" wrapText="1"/>
    </xf>
    <xf numFmtId="0" fontId="18" fillId="5" borderId="78" xfId="0" applyFont="1" applyFill="1" applyBorder="1" applyAlignment="1">
      <alignment horizontal="center" vertical="center" wrapText="1"/>
    </xf>
    <xf numFmtId="0" fontId="0" fillId="0" borderId="79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8" fillId="5" borderId="85" xfId="0" applyFont="1" applyFill="1" applyBorder="1" applyAlignment="1" applyProtection="1">
      <alignment horizontal="center" vertical="center" shrinkToFit="1"/>
      <protection hidden="1"/>
    </xf>
    <xf numFmtId="0" fontId="8" fillId="5" borderId="86" xfId="0" applyFont="1" applyFill="1" applyBorder="1" applyAlignment="1" applyProtection="1">
      <alignment horizontal="center" vertical="center" shrinkToFit="1"/>
      <protection hidden="1"/>
    </xf>
    <xf numFmtId="0" fontId="8" fillId="5" borderId="87" xfId="0" applyFont="1" applyFill="1" applyBorder="1" applyAlignment="1" applyProtection="1">
      <alignment horizontal="center" vertical="center" shrinkToFit="1"/>
      <protection hidden="1"/>
    </xf>
    <xf numFmtId="0" fontId="19" fillId="9" borderId="88" xfId="0" applyFont="1" applyFill="1" applyBorder="1" applyAlignment="1" applyProtection="1">
      <alignment vertical="center" shrinkToFit="1"/>
      <protection hidden="1"/>
    </xf>
    <xf numFmtId="0" fontId="19" fillId="9" borderId="89" xfId="0" applyFont="1" applyFill="1" applyBorder="1" applyAlignment="1" applyProtection="1">
      <alignment horizontal="center" vertical="center" shrinkToFit="1"/>
      <protection hidden="1"/>
    </xf>
    <xf numFmtId="0" fontId="19" fillId="9" borderId="90" xfId="0" applyFont="1" applyFill="1" applyBorder="1" applyAlignment="1" applyProtection="1">
      <alignment horizontal="center" vertical="center" shrinkToFit="1"/>
      <protection hidden="1"/>
    </xf>
    <xf numFmtId="0" fontId="19" fillId="9" borderId="91" xfId="0" applyFont="1" applyFill="1" applyBorder="1" applyAlignment="1" applyProtection="1">
      <alignment vertical="center" shrinkToFit="1"/>
      <protection hidden="1"/>
    </xf>
    <xf numFmtId="0" fontId="19" fillId="9" borderId="84" xfId="0" applyFont="1" applyFill="1" applyBorder="1" applyAlignment="1" applyProtection="1">
      <alignment horizontal="center" vertical="center" shrinkToFit="1"/>
      <protection hidden="1"/>
    </xf>
    <xf numFmtId="0" fontId="19" fillId="9" borderId="92" xfId="0" applyFont="1" applyFill="1" applyBorder="1" applyAlignment="1" applyProtection="1">
      <alignment horizontal="center" vertical="center" shrinkToFit="1"/>
      <protection hidden="1"/>
    </xf>
    <xf numFmtId="0" fontId="19" fillId="10" borderId="91" xfId="0" applyFont="1" applyFill="1" applyBorder="1" applyAlignment="1" applyProtection="1">
      <alignment vertical="center" shrinkToFit="1"/>
      <protection hidden="1"/>
    </xf>
    <xf numFmtId="0" fontId="19" fillId="10" borderId="84" xfId="0" applyFont="1" applyFill="1" applyBorder="1" applyAlignment="1" applyProtection="1">
      <alignment horizontal="center" vertical="center" shrinkToFit="1"/>
      <protection hidden="1"/>
    </xf>
    <xf numFmtId="0" fontId="19" fillId="10" borderId="92" xfId="0" applyFont="1" applyFill="1" applyBorder="1" applyAlignment="1" applyProtection="1">
      <alignment horizontal="center" vertical="center" shrinkToFit="1"/>
      <protection hidden="1"/>
    </xf>
    <xf numFmtId="0" fontId="19" fillId="10" borderId="93" xfId="0" applyFont="1" applyFill="1" applyBorder="1" applyAlignment="1" applyProtection="1">
      <alignment vertical="center" shrinkToFit="1"/>
      <protection hidden="1"/>
    </xf>
    <xf numFmtId="0" fontId="19" fillId="10" borderId="94" xfId="0" applyFont="1" applyFill="1" applyBorder="1" applyAlignment="1" applyProtection="1">
      <alignment horizontal="center" vertical="center" shrinkToFit="1"/>
      <protection hidden="1"/>
    </xf>
    <xf numFmtId="0" fontId="19" fillId="10" borderId="95" xfId="0" applyFont="1" applyFill="1" applyBorder="1" applyAlignment="1" applyProtection="1">
      <alignment horizontal="center" vertical="center" shrinkToFit="1"/>
      <protection hidden="1"/>
    </xf>
    <xf numFmtId="0" fontId="10" fillId="0" borderId="0" xfId="0" applyFont="1" applyAlignment="1">
      <alignment horizontal="left" vertical="center"/>
    </xf>
    <xf numFmtId="0" fontId="0" fillId="9" borderId="73" xfId="0" applyFill="1" applyBorder="1" applyAlignment="1">
      <alignment horizontal="center" vertical="center"/>
    </xf>
    <xf numFmtId="0" fontId="0" fillId="9" borderId="74" xfId="0" applyFill="1" applyBorder="1" applyAlignment="1">
      <alignment horizontal="center" vertical="center"/>
    </xf>
    <xf numFmtId="0" fontId="0" fillId="9" borderId="75" xfId="0" applyFill="1" applyBorder="1" applyAlignment="1">
      <alignment horizontal="center" vertical="center"/>
    </xf>
    <xf numFmtId="0" fontId="0" fillId="3" borderId="26" xfId="0" applyFill="1" applyBorder="1" applyAlignment="1" applyProtection="1">
      <alignment horizontal="left" vertical="center" wrapText="1" shrinkToFit="1"/>
      <protection hidden="1"/>
    </xf>
    <xf numFmtId="14" fontId="1" fillId="3" borderId="23" xfId="0" applyNumberFormat="1" applyFont="1" applyFill="1" applyBorder="1" applyAlignment="1" applyProtection="1">
      <alignment horizontal="right" vertical="center"/>
      <protection hidden="1"/>
    </xf>
    <xf numFmtId="0" fontId="0" fillId="3" borderId="29" xfId="0" applyFill="1" applyBorder="1" applyAlignment="1" applyProtection="1">
      <alignment horizontal="left" vertical="center" wrapText="1" shrinkToFit="1"/>
      <protection hidden="1"/>
    </xf>
    <xf numFmtId="165" fontId="18" fillId="0" borderId="0" xfId="0" applyNumberFormat="1" applyFont="1" applyAlignment="1" applyProtection="1">
      <alignment vertical="center"/>
      <protection hidden="1"/>
    </xf>
    <xf numFmtId="165" fontId="18" fillId="3" borderId="0" xfId="0" applyNumberFormat="1" applyFont="1" applyFill="1" applyAlignment="1" applyProtection="1">
      <alignment vertical="center"/>
      <protection hidden="1"/>
    </xf>
    <xf numFmtId="165" fontId="18" fillId="3" borderId="31" xfId="0" applyNumberFormat="1" applyFont="1" applyFill="1" applyBorder="1" applyAlignment="1" applyProtection="1">
      <alignment vertical="center"/>
      <protection hidden="1"/>
    </xf>
    <xf numFmtId="165" fontId="18" fillId="3" borderId="32" xfId="0" applyNumberFormat="1" applyFont="1" applyFill="1" applyBorder="1" applyAlignment="1" applyProtection="1">
      <alignment vertical="center"/>
      <protection hidden="1"/>
    </xf>
    <xf numFmtId="165" fontId="18" fillId="3" borderId="33" xfId="0" applyNumberFormat="1" applyFont="1" applyFill="1" applyBorder="1" applyAlignment="1" applyProtection="1">
      <alignment vertical="center"/>
      <protection hidden="1"/>
    </xf>
    <xf numFmtId="165" fontId="18" fillId="3" borderId="34" xfId="0" applyNumberFormat="1" applyFont="1" applyFill="1" applyBorder="1" applyAlignment="1" applyProtection="1">
      <alignment vertical="center"/>
      <protection hidden="1"/>
    </xf>
    <xf numFmtId="165" fontId="18" fillId="3" borderId="35" xfId="0" applyNumberFormat="1" applyFont="1" applyFill="1" applyBorder="1" applyAlignment="1" applyProtection="1">
      <alignment vertical="center"/>
      <protection hidden="1"/>
    </xf>
    <xf numFmtId="165" fontId="18" fillId="0" borderId="0" xfId="0" applyNumberFormat="1" applyFont="1" applyProtection="1">
      <protection hidden="1"/>
    </xf>
    <xf numFmtId="164" fontId="0" fillId="3" borderId="12" xfId="0" applyNumberFormat="1" applyFill="1" applyBorder="1" applyAlignment="1" applyProtection="1">
      <alignment horizontal="center" vertical="center" shrinkToFit="1"/>
      <protection hidden="1"/>
    </xf>
    <xf numFmtId="164" fontId="0" fillId="3" borderId="20" xfId="0" applyNumberFormat="1" applyFill="1" applyBorder="1" applyAlignment="1" applyProtection="1">
      <alignment horizontal="center" vertical="center" shrinkToFit="1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vertical="center"/>
      <protection hidden="1"/>
    </xf>
    <xf numFmtId="165" fontId="20" fillId="0" borderId="0" xfId="0" applyNumberFormat="1" applyFont="1" applyAlignment="1" applyProtection="1">
      <alignment horizontal="left" vertical="center"/>
      <protection hidden="1"/>
    </xf>
    <xf numFmtId="165" fontId="20" fillId="0" borderId="0" xfId="0" applyNumberFormat="1" applyFont="1" applyAlignment="1" applyProtection="1">
      <alignment horizontal="center" vertical="center" wrapText="1"/>
      <protection hidden="1"/>
    </xf>
    <xf numFmtId="165" fontId="20" fillId="0" borderId="0" xfId="0" applyNumberFormat="1" applyFont="1" applyAlignment="1" applyProtection="1">
      <alignment vertical="center" wrapText="1"/>
      <protection hidden="1"/>
    </xf>
    <xf numFmtId="0" fontId="0" fillId="3" borderId="25" xfId="0" applyFill="1" applyBorder="1" applyAlignment="1" applyProtection="1">
      <alignment horizontal="center" vertical="center"/>
      <protection hidden="1"/>
    </xf>
    <xf numFmtId="0" fontId="0" fillId="3" borderId="28" xfId="0" applyFill="1" applyBorder="1" applyAlignment="1" applyProtection="1">
      <alignment horizontal="center" vertical="center"/>
      <protection hidden="1"/>
    </xf>
    <xf numFmtId="0" fontId="9" fillId="5" borderId="7" xfId="0" applyFont="1" applyFill="1" applyBorder="1" applyAlignment="1" applyProtection="1">
      <alignment horizontal="center" vertical="center"/>
      <protection hidden="1"/>
    </xf>
    <xf numFmtId="0" fontId="9" fillId="5" borderId="8" xfId="0" applyFont="1" applyFill="1" applyBorder="1" applyAlignment="1" applyProtection="1">
      <alignment horizontal="center" vertical="center"/>
      <protection hidden="1"/>
    </xf>
    <xf numFmtId="0" fontId="9" fillId="5" borderId="9" xfId="0" applyFont="1" applyFill="1" applyBorder="1" applyAlignment="1" applyProtection="1">
      <alignment horizontal="center" vertical="center"/>
      <protection hidden="1"/>
    </xf>
    <xf numFmtId="0" fontId="9" fillId="5" borderId="15" xfId="0" applyFont="1" applyFill="1" applyBorder="1" applyAlignment="1" applyProtection="1">
      <alignment horizontal="center" vertical="center"/>
      <protection hidden="1"/>
    </xf>
    <xf numFmtId="0" fontId="9" fillId="5" borderId="16" xfId="0" applyFont="1" applyFill="1" applyBorder="1" applyAlignment="1" applyProtection="1">
      <alignment horizontal="center" vertical="center"/>
      <protection hidden="1"/>
    </xf>
    <xf numFmtId="0" fontId="9" fillId="5" borderId="17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6" fillId="0" borderId="0" xfId="1" applyFont="1" applyAlignment="1" applyProtection="1">
      <alignment horizontal="right"/>
      <protection hidden="1"/>
    </xf>
    <xf numFmtId="0" fontId="7" fillId="5" borderId="1" xfId="0" applyFont="1" applyFill="1" applyBorder="1" applyAlignment="1" applyProtection="1">
      <alignment horizontal="center" vertical="center"/>
      <protection hidden="1"/>
    </xf>
    <xf numFmtId="0" fontId="7" fillId="5" borderId="2" xfId="0" applyFont="1" applyFill="1" applyBorder="1" applyAlignment="1" applyProtection="1">
      <alignment horizontal="center" vertical="center"/>
      <protection hidden="1"/>
    </xf>
    <xf numFmtId="0" fontId="7" fillId="5" borderId="36" xfId="0" applyFont="1" applyFill="1" applyBorder="1" applyAlignment="1" applyProtection="1">
      <alignment horizontal="center" vertical="center"/>
      <protection hidden="1"/>
    </xf>
    <xf numFmtId="0" fontId="7" fillId="5" borderId="4" xfId="0" applyFont="1" applyFill="1" applyBorder="1" applyAlignment="1" applyProtection="1">
      <alignment horizontal="center" vertical="center"/>
      <protection hidden="1"/>
    </xf>
    <xf numFmtId="0" fontId="7" fillId="5" borderId="5" xfId="0" applyFont="1" applyFill="1" applyBorder="1" applyAlignment="1" applyProtection="1">
      <alignment horizontal="center" vertical="center"/>
      <protection hidden="1"/>
    </xf>
    <xf numFmtId="0" fontId="7" fillId="5" borderId="37" xfId="0" applyFont="1" applyFill="1" applyBorder="1" applyAlignment="1" applyProtection="1">
      <alignment horizontal="center" vertical="center"/>
      <protection hidden="1"/>
    </xf>
    <xf numFmtId="0" fontId="5" fillId="2" borderId="1" xfId="1" applyFont="1" applyFill="1" applyBorder="1" applyAlignment="1" applyProtection="1">
      <alignment horizontal="center" vertical="center"/>
      <protection hidden="1"/>
    </xf>
    <xf numFmtId="0" fontId="5" fillId="2" borderId="2" xfId="1" applyFont="1" applyFill="1" applyBorder="1" applyAlignment="1" applyProtection="1">
      <alignment horizontal="center" vertical="center"/>
      <protection hidden="1"/>
    </xf>
    <xf numFmtId="0" fontId="5" fillId="2" borderId="3" xfId="1" applyFont="1" applyFill="1" applyBorder="1" applyAlignment="1" applyProtection="1">
      <alignment horizontal="center" vertical="center"/>
      <protection hidden="1"/>
    </xf>
    <xf numFmtId="0" fontId="5" fillId="2" borderId="4" xfId="1" applyFont="1" applyFill="1" applyBorder="1" applyAlignment="1" applyProtection="1">
      <alignment horizontal="center" vertical="center"/>
      <protection hidden="1"/>
    </xf>
    <xf numFmtId="0" fontId="5" fillId="2" borderId="5" xfId="1" applyFont="1" applyFill="1" applyBorder="1" applyAlignment="1" applyProtection="1">
      <alignment horizontal="center" vertical="center"/>
      <protection hidden="1"/>
    </xf>
    <xf numFmtId="0" fontId="5" fillId="2" borderId="6" xfId="1" applyFont="1" applyFill="1" applyBorder="1" applyAlignment="1" applyProtection="1">
      <alignment horizontal="center" vertical="center"/>
      <protection hidden="1"/>
    </xf>
    <xf numFmtId="0" fontId="10" fillId="2" borderId="7" xfId="0" applyFont="1" applyFill="1" applyBorder="1" applyAlignment="1" applyProtection="1">
      <alignment horizontal="center" vertical="center" wrapText="1"/>
      <protection hidden="1"/>
    </xf>
    <xf numFmtId="0" fontId="10" fillId="2" borderId="8" xfId="0" applyFont="1" applyFill="1" applyBorder="1" applyAlignment="1" applyProtection="1">
      <alignment horizontal="center" vertical="center" wrapText="1"/>
      <protection hidden="1"/>
    </xf>
    <xf numFmtId="0" fontId="10" fillId="2" borderId="9" xfId="0" applyFont="1" applyFill="1" applyBorder="1" applyAlignment="1" applyProtection="1">
      <alignment horizontal="center" vertical="center" wrapText="1"/>
      <protection hidden="1"/>
    </xf>
    <xf numFmtId="0" fontId="10" fillId="2" borderId="49" xfId="0" applyFont="1" applyFill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10" fillId="2" borderId="50" xfId="0" applyFont="1" applyFill="1" applyBorder="1" applyAlignment="1" applyProtection="1">
      <alignment horizontal="center" vertical="center" wrapText="1"/>
      <protection hidden="1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16" xfId="0" applyFont="1" applyFill="1" applyBorder="1" applyAlignment="1" applyProtection="1">
      <alignment horizontal="center" vertical="center" wrapText="1"/>
      <protection hidden="1"/>
    </xf>
    <xf numFmtId="0" fontId="10" fillId="2" borderId="17" xfId="0" applyFont="1" applyFill="1" applyBorder="1" applyAlignment="1" applyProtection="1">
      <alignment horizontal="center" vertical="center" wrapText="1"/>
      <protection hidden="1"/>
    </xf>
  </cellXfs>
  <cellStyles count="3">
    <cellStyle name="Hyperlink" xfId="1" builtinId="8"/>
    <cellStyle name="Normal" xfId="0" builtinId="0"/>
    <cellStyle name="Note" xfId="2" builtinId="10"/>
  </cellStyles>
  <dxfs count="37">
    <dxf>
      <font>
        <color rgb="FF9C5700"/>
      </font>
      <fill>
        <patternFill>
          <bgColor rgb="FFFFEB9C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 val="0"/>
        <i/>
        <color rgb="FF008080"/>
      </font>
    </dxf>
    <dxf>
      <font>
        <b val="0"/>
        <i/>
        <color rgb="FF008080"/>
      </font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0000FF"/>
      </font>
      <fill>
        <patternFill>
          <bgColor theme="7" tint="0.59996337778862885"/>
        </patternFill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0000FF"/>
      </font>
    </dxf>
    <dxf>
      <font>
        <b/>
        <i val="0"/>
        <color rgb="FF0000FF"/>
      </font>
      <fill>
        <patternFill>
          <bgColor theme="7" tint="0.59996337778862885"/>
        </patternFill>
      </fill>
    </dxf>
    <dxf>
      <font>
        <b val="0"/>
        <i/>
        <color rgb="FF008080"/>
      </font>
    </dxf>
    <dxf>
      <font>
        <b val="0"/>
        <i/>
        <color rgb="FF008080"/>
      </font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FFFF99"/>
      <color rgb="FF3366FF"/>
      <color rgb="FF0000FF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svg"/><Relationship Id="rId21" Type="http://schemas.openxmlformats.org/officeDocument/2006/relationships/image" Target="../media/image21.png"/><Relationship Id="rId34" Type="http://schemas.openxmlformats.org/officeDocument/2006/relationships/image" Target="../media/image34.sv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63" Type="http://schemas.openxmlformats.org/officeDocument/2006/relationships/image" Target="../media/image63.jpeg"/><Relationship Id="rId7" Type="http://schemas.openxmlformats.org/officeDocument/2006/relationships/image" Target="../media/image7.png"/><Relationship Id="rId2" Type="http://schemas.openxmlformats.org/officeDocument/2006/relationships/image" Target="../media/image2.svg"/><Relationship Id="rId16" Type="http://schemas.openxmlformats.org/officeDocument/2006/relationships/image" Target="../media/image16.sv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svg"/><Relationship Id="rId32" Type="http://schemas.openxmlformats.org/officeDocument/2006/relationships/image" Target="../media/image32.sv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66" Type="http://schemas.openxmlformats.org/officeDocument/2006/relationships/image" Target="../media/image66.jpeg"/><Relationship Id="rId5" Type="http://schemas.openxmlformats.org/officeDocument/2006/relationships/image" Target="../media/image5.png"/><Relationship Id="rId61" Type="http://schemas.openxmlformats.org/officeDocument/2006/relationships/image" Target="../media/image61.jpeg"/><Relationship Id="rId19" Type="http://schemas.openxmlformats.org/officeDocument/2006/relationships/image" Target="../media/image19.png"/><Relationship Id="rId14" Type="http://schemas.openxmlformats.org/officeDocument/2006/relationships/image" Target="../media/image14.svg"/><Relationship Id="rId22" Type="http://schemas.openxmlformats.org/officeDocument/2006/relationships/image" Target="../media/image22.svg"/><Relationship Id="rId27" Type="http://schemas.openxmlformats.org/officeDocument/2006/relationships/image" Target="../media/image27.png"/><Relationship Id="rId30" Type="http://schemas.openxmlformats.org/officeDocument/2006/relationships/image" Target="../media/image30.svg"/><Relationship Id="rId35" Type="http://schemas.openxmlformats.org/officeDocument/2006/relationships/image" Target="../media/image35.pn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56" Type="http://schemas.openxmlformats.org/officeDocument/2006/relationships/image" Target="../media/image56.jpeg"/><Relationship Id="rId64" Type="http://schemas.openxmlformats.org/officeDocument/2006/relationships/image" Target="../media/image64.jpeg"/><Relationship Id="rId8" Type="http://schemas.openxmlformats.org/officeDocument/2006/relationships/image" Target="../media/image8.svg"/><Relationship Id="rId51" Type="http://schemas.openxmlformats.org/officeDocument/2006/relationships/image" Target="../media/image51.jpeg"/><Relationship Id="rId3" Type="http://schemas.openxmlformats.org/officeDocument/2006/relationships/image" Target="../media/image3.png"/><Relationship Id="rId12" Type="http://schemas.openxmlformats.org/officeDocument/2006/relationships/image" Target="../media/image12.sv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59" Type="http://schemas.openxmlformats.org/officeDocument/2006/relationships/image" Target="../media/image59.jpeg"/><Relationship Id="rId20" Type="http://schemas.openxmlformats.org/officeDocument/2006/relationships/image" Target="../media/image20.svg"/><Relationship Id="rId41" Type="http://schemas.openxmlformats.org/officeDocument/2006/relationships/image" Target="../media/image41.jpeg"/><Relationship Id="rId54" Type="http://schemas.openxmlformats.org/officeDocument/2006/relationships/image" Target="../media/image54.jpeg"/><Relationship Id="rId62" Type="http://schemas.openxmlformats.org/officeDocument/2006/relationships/image" Target="../media/image62.jpeg"/><Relationship Id="rId1" Type="http://schemas.openxmlformats.org/officeDocument/2006/relationships/image" Target="../media/image1.png"/><Relationship Id="rId6" Type="http://schemas.openxmlformats.org/officeDocument/2006/relationships/image" Target="../media/image6.sv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svg"/><Relationship Id="rId36" Type="http://schemas.openxmlformats.org/officeDocument/2006/relationships/image" Target="../media/image36.png"/><Relationship Id="rId49" Type="http://schemas.openxmlformats.org/officeDocument/2006/relationships/image" Target="../media/image49.jpeg"/><Relationship Id="rId57" Type="http://schemas.openxmlformats.org/officeDocument/2006/relationships/image" Target="../media/image57.jpeg"/><Relationship Id="rId10" Type="http://schemas.openxmlformats.org/officeDocument/2006/relationships/image" Target="../media/image10.svg"/><Relationship Id="rId31" Type="http://schemas.openxmlformats.org/officeDocument/2006/relationships/image" Target="../media/image31.png"/><Relationship Id="rId44" Type="http://schemas.openxmlformats.org/officeDocument/2006/relationships/image" Target="../media/image44.jpeg"/><Relationship Id="rId52" Type="http://schemas.openxmlformats.org/officeDocument/2006/relationships/image" Target="../media/image52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4" Type="http://schemas.openxmlformats.org/officeDocument/2006/relationships/image" Target="../media/image4.svg"/><Relationship Id="rId9" Type="http://schemas.openxmlformats.org/officeDocument/2006/relationships/image" Target="../media/image9.png"/><Relationship Id="rId13" Type="http://schemas.openxmlformats.org/officeDocument/2006/relationships/image" Target="../media/image13.png"/><Relationship Id="rId18" Type="http://schemas.openxmlformats.org/officeDocument/2006/relationships/image" Target="../media/image18.svg"/><Relationship Id="rId39" Type="http://schemas.openxmlformats.org/officeDocument/2006/relationships/image" Target="../media/image3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1266825</xdr:colOff>
      <xdr:row>13</xdr:row>
      <xdr:rowOff>21898</xdr:rowOff>
    </xdr:from>
    <xdr:to>
      <xdr:col>4</xdr:col>
      <xdr:colOff>1476375</xdr:colOff>
      <xdr:row>13</xdr:row>
      <xdr:rowOff>174298</xdr:rowOff>
    </xdr:to>
    <xdr:pic>
      <xdr:nvPicPr>
        <xdr:cNvPr id="40" name="Graphic 39">
          <a:extLst>
            <a:ext uri="{FF2B5EF4-FFF2-40B4-BE49-F238E27FC236}">
              <a16:creationId xmlns:a16="http://schemas.microsoft.com/office/drawing/2014/main" id="{F51A19F6-415C-428E-AE45-6B8444E8C5C6}"/>
            </a:ext>
            <a:ext uri="{147F2762-F138-4A5C-976F-8EAC2B608ADB}">
              <a16:predDERef xmlns:a16="http://schemas.microsoft.com/office/drawing/2014/main" pred="{2926FEA7-3DB8-456D-8E54-D792CCDBE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381375" y="256507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1261204</xdr:colOff>
      <xdr:row>50</xdr:row>
      <xdr:rowOff>16863</xdr:rowOff>
    </xdr:from>
    <xdr:to>
      <xdr:col>4</xdr:col>
      <xdr:colOff>1470754</xdr:colOff>
      <xdr:row>50</xdr:row>
      <xdr:rowOff>169263</xdr:rowOff>
    </xdr:to>
    <xdr:pic>
      <xdr:nvPicPr>
        <xdr:cNvPr id="72" name="Graphic 71">
          <a:extLst>
            <a:ext uri="{FF2B5EF4-FFF2-40B4-BE49-F238E27FC236}">
              <a16:creationId xmlns:a16="http://schemas.microsoft.com/office/drawing/2014/main" id="{1B46314B-96F4-4815-F17C-4CFD773C5BEE}"/>
            </a:ext>
            <a:ext uri="{147F2762-F138-4A5C-976F-8EAC2B608ADB}">
              <a16:predDERef xmlns:a16="http://schemas.microsoft.com/office/drawing/2014/main" pred="{BB8E344E-9E93-4899-B7AC-C30170AE0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375754" y="960853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1271194</xdr:colOff>
      <xdr:row>9</xdr:row>
      <xdr:rowOff>21138</xdr:rowOff>
    </xdr:from>
    <xdr:to>
      <xdr:col>4</xdr:col>
      <xdr:colOff>1480744</xdr:colOff>
      <xdr:row>9</xdr:row>
      <xdr:rowOff>173538</xdr:rowOff>
    </xdr:to>
    <xdr:pic>
      <xdr:nvPicPr>
        <xdr:cNvPr id="80" name="Graphic 79">
          <a:extLst>
            <a:ext uri="{FF2B5EF4-FFF2-40B4-BE49-F238E27FC236}">
              <a16:creationId xmlns:a16="http://schemas.microsoft.com/office/drawing/2014/main" id="{DD2796C7-63CF-A040-CAC6-694AE2C956E4}"/>
            </a:ext>
            <a:ext uri="{147F2762-F138-4A5C-976F-8EAC2B608ADB}">
              <a16:predDERef xmlns:a16="http://schemas.microsoft.com/office/drawing/2014/main" pred="{D0B62B00-1472-E781-59E5-0A8BFBC2F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385744" y="18023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1270729</xdr:colOff>
      <xdr:row>24</xdr:row>
      <xdr:rowOff>21138</xdr:rowOff>
    </xdr:from>
    <xdr:to>
      <xdr:col>4</xdr:col>
      <xdr:colOff>1480279</xdr:colOff>
      <xdr:row>24</xdr:row>
      <xdr:rowOff>173538</xdr:rowOff>
    </xdr:to>
    <xdr:pic>
      <xdr:nvPicPr>
        <xdr:cNvPr id="116" name="Graphic 115">
          <a:extLst>
            <a:ext uri="{FF2B5EF4-FFF2-40B4-BE49-F238E27FC236}">
              <a16:creationId xmlns:a16="http://schemas.microsoft.com/office/drawing/2014/main" id="{40B6E916-F412-551A-9B8E-659085D4E61F}"/>
            </a:ext>
            <a:ext uri="{147F2762-F138-4A5C-976F-8EAC2B608ADB}">
              <a16:predDERef xmlns:a16="http://schemas.microsoft.com/office/drawing/2014/main" pred="{DD2796C7-63CF-A040-CAC6-694AE2C95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385279" y="46598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1271194</xdr:colOff>
      <xdr:row>18</xdr:row>
      <xdr:rowOff>21138</xdr:rowOff>
    </xdr:from>
    <xdr:to>
      <xdr:col>4</xdr:col>
      <xdr:colOff>1480744</xdr:colOff>
      <xdr:row>18</xdr:row>
      <xdr:rowOff>173538</xdr:rowOff>
    </xdr:to>
    <xdr:pic>
      <xdr:nvPicPr>
        <xdr:cNvPr id="117" name="Graphic 116">
          <a:extLst>
            <a:ext uri="{FF2B5EF4-FFF2-40B4-BE49-F238E27FC236}">
              <a16:creationId xmlns:a16="http://schemas.microsoft.com/office/drawing/2014/main" id="{1B863B75-27AB-03EF-340E-38758835B422}"/>
            </a:ext>
            <a:ext uri="{147F2762-F138-4A5C-976F-8EAC2B608ADB}">
              <a16:predDERef xmlns:a16="http://schemas.microsoft.com/office/drawing/2014/main" pred="{40B6E916-F412-551A-9B8E-659085D4E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3385744" y="35168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1271350</xdr:colOff>
      <xdr:row>22</xdr:row>
      <xdr:rowOff>23640</xdr:rowOff>
    </xdr:from>
    <xdr:to>
      <xdr:col>4</xdr:col>
      <xdr:colOff>1480900</xdr:colOff>
      <xdr:row>22</xdr:row>
      <xdr:rowOff>176040</xdr:rowOff>
    </xdr:to>
    <xdr:pic>
      <xdr:nvPicPr>
        <xdr:cNvPr id="122" name="Graphic 121">
          <a:extLst>
            <a:ext uri="{FF2B5EF4-FFF2-40B4-BE49-F238E27FC236}">
              <a16:creationId xmlns:a16="http://schemas.microsoft.com/office/drawing/2014/main" id="{F9F7A320-9819-4817-B1BF-EDB370E4FCEE}"/>
            </a:ext>
            <a:ext uri="{147F2762-F138-4A5C-976F-8EAC2B608ADB}">
              <a16:predDERef xmlns:a16="http://schemas.microsoft.com/office/drawing/2014/main" pred="{0BA84969-ED9E-44E1-B99E-A09421B45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3385900" y="428131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36</xdr:row>
      <xdr:rowOff>14115</xdr:rowOff>
    </xdr:from>
    <xdr:to>
      <xdr:col>7</xdr:col>
      <xdr:colOff>230498</xdr:colOff>
      <xdr:row>36</xdr:row>
      <xdr:rowOff>166515</xdr:rowOff>
    </xdr:to>
    <xdr:pic>
      <xdr:nvPicPr>
        <xdr:cNvPr id="123" name="Graphic 122">
          <a:extLst>
            <a:ext uri="{FF2B5EF4-FFF2-40B4-BE49-F238E27FC236}">
              <a16:creationId xmlns:a16="http://schemas.microsoft.com/office/drawing/2014/main" id="{4CAA2867-7516-4884-9806-DFE9C30E4882}"/>
            </a:ext>
            <a:ext uri="{147F2762-F138-4A5C-976F-8EAC2B608ADB}">
              <a16:predDERef xmlns:a16="http://schemas.microsoft.com/office/drawing/2014/main" pred="{F9F7A320-9819-4817-B1BF-EDB370E4F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4211948" y="693879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23575</xdr:colOff>
      <xdr:row>35</xdr:row>
      <xdr:rowOff>23751</xdr:rowOff>
    </xdr:from>
    <xdr:to>
      <xdr:col>7</xdr:col>
      <xdr:colOff>233125</xdr:colOff>
      <xdr:row>35</xdr:row>
      <xdr:rowOff>176151</xdr:rowOff>
    </xdr:to>
    <xdr:pic>
      <xdr:nvPicPr>
        <xdr:cNvPr id="124" name="Graphic 123">
          <a:extLst>
            <a:ext uri="{FF2B5EF4-FFF2-40B4-BE49-F238E27FC236}">
              <a16:creationId xmlns:a16="http://schemas.microsoft.com/office/drawing/2014/main" id="{2ECC2E3A-3621-4470-849A-445866F91979}"/>
            </a:ext>
            <a:ext uri="{147F2762-F138-4A5C-976F-8EAC2B608ADB}">
              <a16:predDERef xmlns:a16="http://schemas.microsoft.com/office/drawing/2014/main" pred="{4CAA2867-7516-4884-9806-DFE9C30E4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4214575" y="675792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27</xdr:row>
      <xdr:rowOff>23751</xdr:rowOff>
    </xdr:from>
    <xdr:to>
      <xdr:col>7</xdr:col>
      <xdr:colOff>230498</xdr:colOff>
      <xdr:row>27</xdr:row>
      <xdr:rowOff>176151</xdr:rowOff>
    </xdr:to>
    <xdr:pic>
      <xdr:nvPicPr>
        <xdr:cNvPr id="125" name="Graphic 124">
          <a:extLst>
            <a:ext uri="{FF2B5EF4-FFF2-40B4-BE49-F238E27FC236}">
              <a16:creationId xmlns:a16="http://schemas.microsoft.com/office/drawing/2014/main" id="{22861624-4BEA-4E9A-ABFA-5D5439CE4101}"/>
            </a:ext>
            <a:ext uri="{147F2762-F138-4A5C-976F-8EAC2B608ADB}">
              <a16:predDERef xmlns:a16="http://schemas.microsoft.com/office/drawing/2014/main" pred="{2ECC2E3A-3621-4470-849A-445866F91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4211948" y="523392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15</xdr:row>
      <xdr:rowOff>14335</xdr:rowOff>
    </xdr:from>
    <xdr:to>
      <xdr:col>4</xdr:col>
      <xdr:colOff>1480435</xdr:colOff>
      <xdr:row>15</xdr:row>
      <xdr:rowOff>166735</xdr:rowOff>
    </xdr:to>
    <xdr:pic>
      <xdr:nvPicPr>
        <xdr:cNvPr id="126" name="Graphic 125">
          <a:extLst>
            <a:ext uri="{FF2B5EF4-FFF2-40B4-BE49-F238E27FC236}">
              <a16:creationId xmlns:a16="http://schemas.microsoft.com/office/drawing/2014/main" id="{5C5EBB62-A95E-43F4-9140-2603EC615986}"/>
            </a:ext>
            <a:ext uri="{147F2762-F138-4A5C-976F-8EAC2B608ADB}">
              <a16:predDERef xmlns:a16="http://schemas.microsoft.com/office/drawing/2014/main" pred="{22861624-4BEA-4E9A-ABFA-5D5439CE4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3385435" y="293851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16</xdr:row>
      <xdr:rowOff>4810</xdr:rowOff>
    </xdr:from>
    <xdr:to>
      <xdr:col>7</xdr:col>
      <xdr:colOff>230498</xdr:colOff>
      <xdr:row>16</xdr:row>
      <xdr:rowOff>157210</xdr:rowOff>
    </xdr:to>
    <xdr:pic>
      <xdr:nvPicPr>
        <xdr:cNvPr id="127" name="Graphic 126">
          <a:extLst>
            <a:ext uri="{FF2B5EF4-FFF2-40B4-BE49-F238E27FC236}">
              <a16:creationId xmlns:a16="http://schemas.microsoft.com/office/drawing/2014/main" id="{3B7BDB38-DF6E-43BF-86FB-6A9B230F72ED}"/>
            </a:ext>
            <a:ext uri="{147F2762-F138-4A5C-976F-8EAC2B608ADB}">
              <a16:predDERef xmlns:a16="http://schemas.microsoft.com/office/drawing/2014/main" pred="{5C5EBB62-A95E-43F4-9140-2603EC615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4211948" y="311948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19</xdr:row>
      <xdr:rowOff>14444</xdr:rowOff>
    </xdr:from>
    <xdr:to>
      <xdr:col>4</xdr:col>
      <xdr:colOff>1480435</xdr:colOff>
      <xdr:row>19</xdr:row>
      <xdr:rowOff>166844</xdr:rowOff>
    </xdr:to>
    <xdr:pic>
      <xdr:nvPicPr>
        <xdr:cNvPr id="128" name="Graphic 127">
          <a:extLst>
            <a:ext uri="{FF2B5EF4-FFF2-40B4-BE49-F238E27FC236}">
              <a16:creationId xmlns:a16="http://schemas.microsoft.com/office/drawing/2014/main" id="{17B10BFC-AE3E-46EC-A0E7-FB856C1C432E}"/>
            </a:ext>
            <a:ext uri="{147F2762-F138-4A5C-976F-8EAC2B608ADB}">
              <a16:predDERef xmlns:a16="http://schemas.microsoft.com/office/drawing/2014/main" pred="{3B7BDB38-DF6E-43BF-86FB-6A9B230F7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3385435" y="370061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21</xdr:row>
      <xdr:rowOff>14553</xdr:rowOff>
    </xdr:from>
    <xdr:to>
      <xdr:col>4</xdr:col>
      <xdr:colOff>1480435</xdr:colOff>
      <xdr:row>21</xdr:row>
      <xdr:rowOff>166953</xdr:rowOff>
    </xdr:to>
    <xdr:pic>
      <xdr:nvPicPr>
        <xdr:cNvPr id="130" name="Graphic 129">
          <a:extLst>
            <a:ext uri="{FF2B5EF4-FFF2-40B4-BE49-F238E27FC236}">
              <a16:creationId xmlns:a16="http://schemas.microsoft.com/office/drawing/2014/main" id="{7B79FBDE-9EAD-4A8D-8194-73FC1A89727B}"/>
            </a:ext>
            <a:ext uri="{147F2762-F138-4A5C-976F-8EAC2B608ADB}">
              <a16:predDERef xmlns:a16="http://schemas.microsoft.com/office/drawing/2014/main" pred="{502A7888-383C-461F-ABE6-D5FFD2A3B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3385435" y="408172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36910</xdr:colOff>
      <xdr:row>13</xdr:row>
      <xdr:rowOff>14663</xdr:rowOff>
    </xdr:from>
    <xdr:to>
      <xdr:col>7</xdr:col>
      <xdr:colOff>189310</xdr:colOff>
      <xdr:row>13</xdr:row>
      <xdr:rowOff>167063</xdr:rowOff>
    </xdr:to>
    <xdr:pic>
      <xdr:nvPicPr>
        <xdr:cNvPr id="132" name="Graphic 131">
          <a:extLst>
            <a:ext uri="{FF2B5EF4-FFF2-40B4-BE49-F238E27FC236}">
              <a16:creationId xmlns:a16="http://schemas.microsoft.com/office/drawing/2014/main" id="{AC5ABD82-A79E-43D6-A08A-526028B33D27}"/>
            </a:ext>
            <a:ext uri="{147F2762-F138-4A5C-976F-8EAC2B608ADB}">
              <a16:predDERef xmlns:a16="http://schemas.microsoft.com/office/drawing/2014/main" pred="{706AC6D1-E473-49A0-8928-3B66FFDDC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4227910" y="2557838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42</xdr:row>
      <xdr:rowOff>14773</xdr:rowOff>
    </xdr:from>
    <xdr:to>
      <xdr:col>4</xdr:col>
      <xdr:colOff>1480435</xdr:colOff>
      <xdr:row>42</xdr:row>
      <xdr:rowOff>167173</xdr:rowOff>
    </xdr:to>
    <xdr:pic>
      <xdr:nvPicPr>
        <xdr:cNvPr id="134" name="Graphic 133">
          <a:extLst>
            <a:ext uri="{FF2B5EF4-FFF2-40B4-BE49-F238E27FC236}">
              <a16:creationId xmlns:a16="http://schemas.microsoft.com/office/drawing/2014/main" id="{D3B1F9D8-1FB9-4CCC-AB18-8FC380654943}"/>
            </a:ext>
            <a:ext uri="{147F2762-F138-4A5C-976F-8EAC2B608ADB}">
              <a16:predDERef xmlns:a16="http://schemas.microsoft.com/office/drawing/2014/main" pred="{AC5ABD82-A79E-43D6-A08A-526028B33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0"/>
            </a:ext>
          </a:extLst>
        </a:blip>
        <a:stretch>
          <a:fillRect/>
        </a:stretch>
      </xdr:blipFill>
      <xdr:spPr>
        <a:xfrm>
          <a:off x="3385435" y="808244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23110</xdr:colOff>
      <xdr:row>76</xdr:row>
      <xdr:rowOff>14882</xdr:rowOff>
    </xdr:from>
    <xdr:to>
      <xdr:col>7</xdr:col>
      <xdr:colOff>232660</xdr:colOff>
      <xdr:row>76</xdr:row>
      <xdr:rowOff>167282</xdr:rowOff>
    </xdr:to>
    <xdr:pic>
      <xdr:nvPicPr>
        <xdr:cNvPr id="136" name="Graphic 135">
          <a:extLst>
            <a:ext uri="{FF2B5EF4-FFF2-40B4-BE49-F238E27FC236}">
              <a16:creationId xmlns:a16="http://schemas.microsoft.com/office/drawing/2014/main" id="{4A4F891E-AB72-43C4-A284-70FCE9C97759}"/>
            </a:ext>
            <a:ext uri="{147F2762-F138-4A5C-976F-8EAC2B608ADB}">
              <a16:predDERef xmlns:a16="http://schemas.microsoft.com/office/drawing/2014/main" pred="{D3B1F9D8-1FB9-4CCC-AB18-8FC380654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4214110" y="1455955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12</xdr:row>
      <xdr:rowOff>14991</xdr:rowOff>
    </xdr:from>
    <xdr:to>
      <xdr:col>4</xdr:col>
      <xdr:colOff>1480435</xdr:colOff>
      <xdr:row>12</xdr:row>
      <xdr:rowOff>167391</xdr:rowOff>
    </xdr:to>
    <xdr:pic>
      <xdr:nvPicPr>
        <xdr:cNvPr id="138" name="Graphic 137">
          <a:extLst>
            <a:ext uri="{FF2B5EF4-FFF2-40B4-BE49-F238E27FC236}">
              <a16:creationId xmlns:a16="http://schemas.microsoft.com/office/drawing/2014/main" id="{319DA717-6C51-4F4D-BFFA-1D38C87BFD71}"/>
            </a:ext>
            <a:ext uri="{147F2762-F138-4A5C-976F-8EAC2B608ADB}">
              <a16:predDERef xmlns:a16="http://schemas.microsoft.com/office/drawing/2014/main" pred="{F71F1484-F61B-4786-8758-E11CDA62E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3385435" y="236766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7949</xdr:colOff>
      <xdr:row>32</xdr:row>
      <xdr:rowOff>19624</xdr:rowOff>
    </xdr:from>
    <xdr:to>
      <xdr:col>7</xdr:col>
      <xdr:colOff>217499</xdr:colOff>
      <xdr:row>32</xdr:row>
      <xdr:rowOff>172024</xdr:rowOff>
    </xdr:to>
    <xdr:pic>
      <xdr:nvPicPr>
        <xdr:cNvPr id="144" name="Graphic 143">
          <a:extLst>
            <a:ext uri="{FF2B5EF4-FFF2-40B4-BE49-F238E27FC236}">
              <a16:creationId xmlns:a16="http://schemas.microsoft.com/office/drawing/2014/main" id="{632F5E0B-950B-4A04-BA6C-0436A596B91C}"/>
            </a:ext>
            <a:ext uri="{147F2762-F138-4A5C-976F-8EAC2B608ADB}">
              <a16:predDERef xmlns:a16="http://schemas.microsoft.com/office/drawing/2014/main" pred="{84038F55-C665-4EDF-8A5B-1434D1A8C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198949" y="618229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1256927</xdr:colOff>
      <xdr:row>27</xdr:row>
      <xdr:rowOff>14331</xdr:rowOff>
    </xdr:from>
    <xdr:to>
      <xdr:col>4</xdr:col>
      <xdr:colOff>1465475</xdr:colOff>
      <xdr:row>27</xdr:row>
      <xdr:rowOff>166731</xdr:rowOff>
    </xdr:to>
    <xdr:pic>
      <xdr:nvPicPr>
        <xdr:cNvPr id="146" name="Graphic 145">
          <a:extLst>
            <a:ext uri="{FF2B5EF4-FFF2-40B4-BE49-F238E27FC236}">
              <a16:creationId xmlns:a16="http://schemas.microsoft.com/office/drawing/2014/main" id="{F796A2AB-26EF-4897-93AC-402DBEAD10B1}"/>
            </a:ext>
            <a:ext uri="{147F2762-F138-4A5C-976F-8EAC2B608ADB}">
              <a16:predDERef xmlns:a16="http://schemas.microsoft.com/office/drawing/2014/main" pred="{4071C906-A0E7-4CE9-B3BF-5C7E6CF8E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371477" y="5224506"/>
          <a:ext cx="208548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1265830</xdr:colOff>
      <xdr:row>36</xdr:row>
      <xdr:rowOff>23355</xdr:rowOff>
    </xdr:from>
    <xdr:to>
      <xdr:col>4</xdr:col>
      <xdr:colOff>1475380</xdr:colOff>
      <xdr:row>36</xdr:row>
      <xdr:rowOff>175755</xdr:rowOff>
    </xdr:to>
    <xdr:pic>
      <xdr:nvPicPr>
        <xdr:cNvPr id="147" name="Graphic 146">
          <a:extLst>
            <a:ext uri="{FF2B5EF4-FFF2-40B4-BE49-F238E27FC236}">
              <a16:creationId xmlns:a16="http://schemas.microsoft.com/office/drawing/2014/main" id="{7B11A404-E79B-4E70-A731-103B739D09D1}"/>
            </a:ext>
            <a:ext uri="{147F2762-F138-4A5C-976F-8EAC2B608ADB}">
              <a16:predDERef xmlns:a16="http://schemas.microsoft.com/office/drawing/2014/main" pred="{F796A2AB-26EF-4897-93AC-402DBEAD1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380380" y="694803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1267755</xdr:colOff>
      <xdr:row>48</xdr:row>
      <xdr:rowOff>23791</xdr:rowOff>
    </xdr:from>
    <xdr:to>
      <xdr:col>4</xdr:col>
      <xdr:colOff>1477305</xdr:colOff>
      <xdr:row>48</xdr:row>
      <xdr:rowOff>176191</xdr:rowOff>
    </xdr:to>
    <xdr:pic>
      <xdr:nvPicPr>
        <xdr:cNvPr id="148" name="Graphic 147">
          <a:extLst>
            <a:ext uri="{FF2B5EF4-FFF2-40B4-BE49-F238E27FC236}">
              <a16:creationId xmlns:a16="http://schemas.microsoft.com/office/drawing/2014/main" id="{24837278-93DD-4EE9-B1B4-8AA3B6709C88}"/>
            </a:ext>
            <a:ext uri="{147F2762-F138-4A5C-976F-8EAC2B608ADB}">
              <a16:predDERef xmlns:a16="http://schemas.microsoft.com/office/drawing/2014/main" pred="{7B11A404-E79B-4E70-A731-103B739D0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382305" y="923446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18055</xdr:colOff>
      <xdr:row>43</xdr:row>
      <xdr:rowOff>18058</xdr:rowOff>
    </xdr:from>
    <xdr:to>
      <xdr:col>7</xdr:col>
      <xdr:colOff>227605</xdr:colOff>
      <xdr:row>43</xdr:row>
      <xdr:rowOff>170458</xdr:rowOff>
    </xdr:to>
    <xdr:pic>
      <xdr:nvPicPr>
        <xdr:cNvPr id="149" name="Graphic 148">
          <a:extLst>
            <a:ext uri="{FF2B5EF4-FFF2-40B4-BE49-F238E27FC236}">
              <a16:creationId xmlns:a16="http://schemas.microsoft.com/office/drawing/2014/main" id="{F4C67D1C-DBC8-48F3-AEB4-717369EC7ADB}"/>
            </a:ext>
            <a:ext uri="{147F2762-F138-4A5C-976F-8EAC2B608ADB}">
              <a16:predDERef xmlns:a16="http://schemas.microsoft.com/office/drawing/2014/main" pred="{24837278-93DD-4EE9-B1B4-8AA3B6709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4209055" y="827623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1262441</xdr:colOff>
      <xdr:row>47</xdr:row>
      <xdr:rowOff>19170</xdr:rowOff>
    </xdr:from>
    <xdr:to>
      <xdr:col>4</xdr:col>
      <xdr:colOff>1471991</xdr:colOff>
      <xdr:row>47</xdr:row>
      <xdr:rowOff>171570</xdr:rowOff>
    </xdr:to>
    <xdr:pic>
      <xdr:nvPicPr>
        <xdr:cNvPr id="154" name="Graphic 153">
          <a:extLst>
            <a:ext uri="{FF2B5EF4-FFF2-40B4-BE49-F238E27FC236}">
              <a16:creationId xmlns:a16="http://schemas.microsoft.com/office/drawing/2014/main" id="{36A088A0-E9DE-4E2B-820A-4ED4CEF4983C}"/>
            </a:ext>
            <a:ext uri="{147F2762-F138-4A5C-976F-8EAC2B608ADB}">
              <a16:predDERef xmlns:a16="http://schemas.microsoft.com/office/drawing/2014/main" pred="{8E1EE9CC-3A5B-4BC2-B815-21BA51E9A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3376991" y="903934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1272848</xdr:colOff>
      <xdr:row>11</xdr:row>
      <xdr:rowOff>18952</xdr:rowOff>
    </xdr:from>
    <xdr:to>
      <xdr:col>4</xdr:col>
      <xdr:colOff>1482398</xdr:colOff>
      <xdr:row>11</xdr:row>
      <xdr:rowOff>171352</xdr:rowOff>
    </xdr:to>
    <xdr:pic>
      <xdr:nvPicPr>
        <xdr:cNvPr id="155" name="Graphic 154">
          <a:extLst>
            <a:ext uri="{FF2B5EF4-FFF2-40B4-BE49-F238E27FC236}">
              <a16:creationId xmlns:a16="http://schemas.microsoft.com/office/drawing/2014/main" id="{C6FF0E20-6461-4635-9D83-B6A8D8CDB869}"/>
            </a:ext>
            <a:ext uri="{147F2762-F138-4A5C-976F-8EAC2B608ADB}">
              <a16:predDERef xmlns:a16="http://schemas.microsoft.com/office/drawing/2014/main" pred="{36A088A0-E9DE-4E2B-820A-4ED4CEF49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3387398" y="218112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18055</xdr:colOff>
      <xdr:row>12</xdr:row>
      <xdr:rowOff>9471</xdr:rowOff>
    </xdr:from>
    <xdr:to>
      <xdr:col>7</xdr:col>
      <xdr:colOff>227605</xdr:colOff>
      <xdr:row>12</xdr:row>
      <xdr:rowOff>161871</xdr:rowOff>
    </xdr:to>
    <xdr:pic>
      <xdr:nvPicPr>
        <xdr:cNvPr id="156" name="Graphic 155">
          <a:extLst>
            <a:ext uri="{FF2B5EF4-FFF2-40B4-BE49-F238E27FC236}">
              <a16:creationId xmlns:a16="http://schemas.microsoft.com/office/drawing/2014/main" id="{1D2DE972-42C3-4B35-9D9B-D44D3222DCB2}"/>
            </a:ext>
            <a:ext uri="{147F2762-F138-4A5C-976F-8EAC2B608ADB}">
              <a16:predDERef xmlns:a16="http://schemas.microsoft.com/office/drawing/2014/main" pred="{C6FF0E20-6461-4635-9D83-B6A8D8CDB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4209055" y="236214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1262441</xdr:colOff>
      <xdr:row>73</xdr:row>
      <xdr:rowOff>21612</xdr:rowOff>
    </xdr:from>
    <xdr:to>
      <xdr:col>4</xdr:col>
      <xdr:colOff>1471991</xdr:colOff>
      <xdr:row>73</xdr:row>
      <xdr:rowOff>174012</xdr:rowOff>
    </xdr:to>
    <xdr:pic>
      <xdr:nvPicPr>
        <xdr:cNvPr id="157" name="Graphic 156">
          <a:extLst>
            <a:ext uri="{FF2B5EF4-FFF2-40B4-BE49-F238E27FC236}">
              <a16:creationId xmlns:a16="http://schemas.microsoft.com/office/drawing/2014/main" id="{45B79A5B-7180-4EF1-A10A-F4558F6895B9}"/>
            </a:ext>
            <a:ext uri="{147F2762-F138-4A5C-976F-8EAC2B608ADB}">
              <a16:predDERef xmlns:a16="http://schemas.microsoft.com/office/drawing/2014/main" pred="{1D2DE972-42C3-4B35-9D9B-D44D3222D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3376991" y="1399478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1267835</xdr:colOff>
      <xdr:row>38</xdr:row>
      <xdr:rowOff>16709</xdr:rowOff>
    </xdr:from>
    <xdr:to>
      <xdr:col>4</xdr:col>
      <xdr:colOff>1477385</xdr:colOff>
      <xdr:row>38</xdr:row>
      <xdr:rowOff>169109</xdr:rowOff>
    </xdr:to>
    <xdr:pic>
      <xdr:nvPicPr>
        <xdr:cNvPr id="158" name="Graphic 157">
          <a:extLst>
            <a:ext uri="{FF2B5EF4-FFF2-40B4-BE49-F238E27FC236}">
              <a16:creationId xmlns:a16="http://schemas.microsoft.com/office/drawing/2014/main" id="{99219DA7-2B42-47C5-A117-23215AE09188}"/>
            </a:ext>
            <a:ext uri="{147F2762-F138-4A5C-976F-8EAC2B608ADB}">
              <a16:predDERef xmlns:a16="http://schemas.microsoft.com/office/drawing/2014/main" pred="{45B79A5B-7180-4EF1-A10A-F4558F689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3382385" y="7322384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14666</xdr:colOff>
      <xdr:row>41</xdr:row>
      <xdr:rowOff>9865</xdr:rowOff>
    </xdr:from>
    <xdr:to>
      <xdr:col>7</xdr:col>
      <xdr:colOff>224216</xdr:colOff>
      <xdr:row>41</xdr:row>
      <xdr:rowOff>162265</xdr:rowOff>
    </xdr:to>
    <xdr:pic>
      <xdr:nvPicPr>
        <xdr:cNvPr id="159" name="Graphic 158">
          <a:extLst>
            <a:ext uri="{FF2B5EF4-FFF2-40B4-BE49-F238E27FC236}">
              <a16:creationId xmlns:a16="http://schemas.microsoft.com/office/drawing/2014/main" id="{34E4060E-64BF-4420-92E8-55ED4FDE1F2C}"/>
            </a:ext>
            <a:ext uri="{147F2762-F138-4A5C-976F-8EAC2B608ADB}">
              <a16:predDERef xmlns:a16="http://schemas.microsoft.com/office/drawing/2014/main" pred="{99219DA7-2B42-47C5-A117-23215AE09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4205666" y="788704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1261976</xdr:colOff>
      <xdr:row>43</xdr:row>
      <xdr:rowOff>21722</xdr:rowOff>
    </xdr:from>
    <xdr:to>
      <xdr:col>4</xdr:col>
      <xdr:colOff>1471526</xdr:colOff>
      <xdr:row>43</xdr:row>
      <xdr:rowOff>174122</xdr:rowOff>
    </xdr:to>
    <xdr:pic>
      <xdr:nvPicPr>
        <xdr:cNvPr id="160" name="Graphic 159">
          <a:extLst>
            <a:ext uri="{FF2B5EF4-FFF2-40B4-BE49-F238E27FC236}">
              <a16:creationId xmlns:a16="http://schemas.microsoft.com/office/drawing/2014/main" id="{E34D46EF-A7A1-49C2-8271-6B46C1F01729}"/>
            </a:ext>
            <a:ext uri="{147F2762-F138-4A5C-976F-8EAC2B608ADB}">
              <a16:predDERef xmlns:a16="http://schemas.microsoft.com/office/drawing/2014/main" pred="{34E4060E-64BF-4420-92E8-55ED4FDE1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3376526" y="827989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1252916</xdr:colOff>
      <xdr:row>44</xdr:row>
      <xdr:rowOff>21503</xdr:rowOff>
    </xdr:from>
    <xdr:to>
      <xdr:col>4</xdr:col>
      <xdr:colOff>1462466</xdr:colOff>
      <xdr:row>44</xdr:row>
      <xdr:rowOff>173903</xdr:rowOff>
    </xdr:to>
    <xdr:pic>
      <xdr:nvPicPr>
        <xdr:cNvPr id="162" name="Graphic 161">
          <a:extLst>
            <a:ext uri="{FF2B5EF4-FFF2-40B4-BE49-F238E27FC236}">
              <a16:creationId xmlns:a16="http://schemas.microsoft.com/office/drawing/2014/main" id="{CE5C2639-EABA-4A03-8A6C-AF7B87EEBBC4}"/>
            </a:ext>
            <a:ext uri="{147F2762-F138-4A5C-976F-8EAC2B608ADB}">
              <a16:predDERef xmlns:a16="http://schemas.microsoft.com/office/drawing/2014/main" pred="{A9348A8D-2583-4F32-A4EA-9125C4284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3367466" y="847017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1302426</xdr:colOff>
      <xdr:row>31</xdr:row>
      <xdr:rowOff>22050</xdr:rowOff>
    </xdr:from>
    <xdr:to>
      <xdr:col>4</xdr:col>
      <xdr:colOff>1454826</xdr:colOff>
      <xdr:row>31</xdr:row>
      <xdr:rowOff>174450</xdr:rowOff>
    </xdr:to>
    <xdr:pic>
      <xdr:nvPicPr>
        <xdr:cNvPr id="164" name="Graphic 163">
          <a:extLst>
            <a:ext uri="{FF2B5EF4-FFF2-40B4-BE49-F238E27FC236}">
              <a16:creationId xmlns:a16="http://schemas.microsoft.com/office/drawing/2014/main" id="{895A885F-98CA-4F6A-9916-B0DAF4808B58}"/>
            </a:ext>
            <a:ext uri="{147F2762-F138-4A5C-976F-8EAC2B608ADB}">
              <a16:predDERef xmlns:a16="http://schemas.microsoft.com/office/drawing/2014/main" pred="{3A17A8D5-E5C3-4502-ACC1-F022CADA8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3416976" y="59942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1263323</xdr:colOff>
      <xdr:row>71</xdr:row>
      <xdr:rowOff>22160</xdr:rowOff>
    </xdr:from>
    <xdr:to>
      <xdr:col>4</xdr:col>
      <xdr:colOff>1472873</xdr:colOff>
      <xdr:row>71</xdr:row>
      <xdr:rowOff>174560</xdr:rowOff>
    </xdr:to>
    <xdr:pic>
      <xdr:nvPicPr>
        <xdr:cNvPr id="166" name="Graphic 165">
          <a:extLst>
            <a:ext uri="{FF2B5EF4-FFF2-40B4-BE49-F238E27FC236}">
              <a16:creationId xmlns:a16="http://schemas.microsoft.com/office/drawing/2014/main" id="{23478721-E983-4248-9001-C89BDD9ABF4A}"/>
            </a:ext>
            <a:ext uri="{147F2762-F138-4A5C-976F-8EAC2B608ADB}">
              <a16:predDERef xmlns:a16="http://schemas.microsoft.com/office/drawing/2014/main" pred="{895A885F-98CA-4F6A-9916-B0DAF4808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0"/>
            </a:ext>
          </a:extLst>
        </a:blip>
        <a:stretch>
          <a:fillRect/>
        </a:stretch>
      </xdr:blipFill>
      <xdr:spPr>
        <a:xfrm>
          <a:off x="3377873" y="1361433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1252916</xdr:colOff>
      <xdr:row>28</xdr:row>
      <xdr:rowOff>22160</xdr:rowOff>
    </xdr:from>
    <xdr:to>
      <xdr:col>4</xdr:col>
      <xdr:colOff>1462466</xdr:colOff>
      <xdr:row>28</xdr:row>
      <xdr:rowOff>174560</xdr:rowOff>
    </xdr:to>
    <xdr:pic>
      <xdr:nvPicPr>
        <xdr:cNvPr id="168" name="Graphic 167">
          <a:extLst>
            <a:ext uri="{FF2B5EF4-FFF2-40B4-BE49-F238E27FC236}">
              <a16:creationId xmlns:a16="http://schemas.microsoft.com/office/drawing/2014/main" id="{914E9B18-87CA-4972-A74B-487A65254FBF}"/>
            </a:ext>
            <a:ext uri="{147F2762-F138-4A5C-976F-8EAC2B608ADB}">
              <a16:predDERef xmlns:a16="http://schemas.microsoft.com/office/drawing/2014/main" pred="{23478721-E983-4248-9001-C89BDD9AB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3367466" y="542283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1273102</xdr:colOff>
      <xdr:row>34</xdr:row>
      <xdr:rowOff>20046</xdr:rowOff>
    </xdr:from>
    <xdr:to>
      <xdr:col>4</xdr:col>
      <xdr:colOff>1482652</xdr:colOff>
      <xdr:row>34</xdr:row>
      <xdr:rowOff>172446</xdr:rowOff>
    </xdr:to>
    <xdr:pic>
      <xdr:nvPicPr>
        <xdr:cNvPr id="170" name="Graphic 169">
          <a:extLst>
            <a:ext uri="{FF2B5EF4-FFF2-40B4-BE49-F238E27FC236}">
              <a16:creationId xmlns:a16="http://schemas.microsoft.com/office/drawing/2014/main" id="{6A835687-E18C-4E61-96BF-2CACA7028655}"/>
            </a:ext>
            <a:ext uri="{147F2762-F138-4A5C-976F-8EAC2B608ADB}">
              <a16:predDERef xmlns:a16="http://schemas.microsoft.com/office/drawing/2014/main" pred="{335E16C5-AEA3-4DA4-B7E2-D639AAA5F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3387652" y="656372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14274</xdr:colOff>
      <xdr:row>57</xdr:row>
      <xdr:rowOff>18805</xdr:rowOff>
    </xdr:from>
    <xdr:to>
      <xdr:col>7</xdr:col>
      <xdr:colOff>223824</xdr:colOff>
      <xdr:row>57</xdr:row>
      <xdr:rowOff>171205</xdr:rowOff>
    </xdr:to>
    <xdr:pic>
      <xdr:nvPicPr>
        <xdr:cNvPr id="174" name="Graphic 173">
          <a:extLst>
            <a:ext uri="{FF2B5EF4-FFF2-40B4-BE49-F238E27FC236}">
              <a16:creationId xmlns:a16="http://schemas.microsoft.com/office/drawing/2014/main" id="{0BB292AF-CF63-4D91-9FB2-B9D9255E9111}"/>
            </a:ext>
            <a:ext uri="{147F2762-F138-4A5C-976F-8EAC2B608ADB}">
              <a16:predDERef xmlns:a16="http://schemas.microsoft.com/office/drawing/2014/main" pred="{E17326C1-F69C-4536-A19B-D6DDD4D39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205274" y="1094398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23799</xdr:colOff>
      <xdr:row>72</xdr:row>
      <xdr:rowOff>8386</xdr:rowOff>
    </xdr:from>
    <xdr:to>
      <xdr:col>7</xdr:col>
      <xdr:colOff>233349</xdr:colOff>
      <xdr:row>72</xdr:row>
      <xdr:rowOff>160786</xdr:rowOff>
    </xdr:to>
    <xdr:pic>
      <xdr:nvPicPr>
        <xdr:cNvPr id="176" name="Graphic 175">
          <a:extLst>
            <a:ext uri="{FF2B5EF4-FFF2-40B4-BE49-F238E27FC236}">
              <a16:creationId xmlns:a16="http://schemas.microsoft.com/office/drawing/2014/main" id="{D5A3DA86-7AE0-44D5-8116-38B4AF820308}"/>
            </a:ext>
            <a:ext uri="{147F2762-F138-4A5C-976F-8EAC2B608ADB}">
              <a16:predDERef xmlns:a16="http://schemas.microsoft.com/office/drawing/2014/main" pred="{F4CB1AE2-6EB2-4E8D-863B-D17D5F1CB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214799" y="1379106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20792</xdr:colOff>
      <xdr:row>64</xdr:row>
      <xdr:rowOff>10504</xdr:rowOff>
    </xdr:from>
    <xdr:to>
      <xdr:col>7</xdr:col>
      <xdr:colOff>230342</xdr:colOff>
      <xdr:row>64</xdr:row>
      <xdr:rowOff>162904</xdr:rowOff>
    </xdr:to>
    <xdr:pic>
      <xdr:nvPicPr>
        <xdr:cNvPr id="178" name="Graphic 177">
          <a:extLst>
            <a:ext uri="{FF2B5EF4-FFF2-40B4-BE49-F238E27FC236}">
              <a16:creationId xmlns:a16="http://schemas.microsoft.com/office/drawing/2014/main" id="{5538F9C8-A0F4-472F-8854-3DD951573486}"/>
            </a:ext>
            <a:ext uri="{147F2762-F138-4A5C-976F-8EAC2B608ADB}">
              <a16:predDERef xmlns:a16="http://schemas.microsoft.com/office/drawing/2014/main" pred="{061D0F4C-BFD4-4980-B574-A5BBE076E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4211792" y="1226917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21793</xdr:colOff>
      <xdr:row>75</xdr:row>
      <xdr:rowOff>16345</xdr:rowOff>
    </xdr:from>
    <xdr:to>
      <xdr:col>7</xdr:col>
      <xdr:colOff>231343</xdr:colOff>
      <xdr:row>75</xdr:row>
      <xdr:rowOff>168745</xdr:rowOff>
    </xdr:to>
    <xdr:pic>
      <xdr:nvPicPr>
        <xdr:cNvPr id="180" name="Graphic 179">
          <a:extLst>
            <a:ext uri="{FF2B5EF4-FFF2-40B4-BE49-F238E27FC236}">
              <a16:creationId xmlns:a16="http://schemas.microsoft.com/office/drawing/2014/main" id="{605DFDD4-24E5-4DCF-8C84-4031B2CF39C2}"/>
            </a:ext>
            <a:ext uri="{147F2762-F138-4A5C-976F-8EAC2B608ADB}">
              <a16:predDERef xmlns:a16="http://schemas.microsoft.com/office/drawing/2014/main" pred="{5538F9C8-A0F4-472F-8854-3DD951573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4212793" y="1437052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22952</xdr:colOff>
      <xdr:row>70</xdr:row>
      <xdr:rowOff>20466</xdr:rowOff>
    </xdr:from>
    <xdr:to>
      <xdr:col>7</xdr:col>
      <xdr:colOff>232502</xdr:colOff>
      <xdr:row>70</xdr:row>
      <xdr:rowOff>172866</xdr:rowOff>
    </xdr:to>
    <xdr:pic>
      <xdr:nvPicPr>
        <xdr:cNvPr id="181" name="Graphic 180">
          <a:extLst>
            <a:ext uri="{FF2B5EF4-FFF2-40B4-BE49-F238E27FC236}">
              <a16:creationId xmlns:a16="http://schemas.microsoft.com/office/drawing/2014/main" id="{BD0BD818-94C4-4B50-B510-C69C4DCC7841}"/>
            </a:ext>
            <a:ext uri="{147F2762-F138-4A5C-976F-8EAC2B608ADB}">
              <a16:predDERef xmlns:a16="http://schemas.microsoft.com/office/drawing/2014/main" pred="{605DFDD4-24E5-4DCF-8C84-4031B2CF3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4213952" y="1342214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21793</xdr:colOff>
      <xdr:row>66</xdr:row>
      <xdr:rowOff>12726</xdr:rowOff>
    </xdr:from>
    <xdr:to>
      <xdr:col>7</xdr:col>
      <xdr:colOff>231343</xdr:colOff>
      <xdr:row>66</xdr:row>
      <xdr:rowOff>165126</xdr:rowOff>
    </xdr:to>
    <xdr:pic>
      <xdr:nvPicPr>
        <xdr:cNvPr id="186" name="Graphic 185">
          <a:extLst>
            <a:ext uri="{FF2B5EF4-FFF2-40B4-BE49-F238E27FC236}">
              <a16:creationId xmlns:a16="http://schemas.microsoft.com/office/drawing/2014/main" id="{F8144853-86A7-442E-8925-6805C06536BF}"/>
            </a:ext>
            <a:ext uri="{147F2762-F138-4A5C-976F-8EAC2B608ADB}">
              <a16:predDERef xmlns:a16="http://schemas.microsoft.com/office/drawing/2014/main" pred="{D6F816FD-8B81-4F8E-9F37-81C41FE66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4212793" y="1265240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23417</xdr:colOff>
      <xdr:row>65</xdr:row>
      <xdr:rowOff>22142</xdr:rowOff>
    </xdr:from>
    <xdr:to>
      <xdr:col>7</xdr:col>
      <xdr:colOff>232967</xdr:colOff>
      <xdr:row>65</xdr:row>
      <xdr:rowOff>174542</xdr:rowOff>
    </xdr:to>
    <xdr:pic>
      <xdr:nvPicPr>
        <xdr:cNvPr id="187" name="Graphic 186">
          <a:extLst>
            <a:ext uri="{FF2B5EF4-FFF2-40B4-BE49-F238E27FC236}">
              <a16:creationId xmlns:a16="http://schemas.microsoft.com/office/drawing/2014/main" id="{D9869385-E3E9-48AF-8AEA-A5C54A95F42B}"/>
            </a:ext>
            <a:ext uri="{147F2762-F138-4A5C-976F-8EAC2B608ADB}">
              <a16:predDERef xmlns:a16="http://schemas.microsoft.com/office/drawing/2014/main" pred="{F8144853-86A7-442E-8925-6805C0653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4214417" y="1247131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1267062</xdr:colOff>
      <xdr:row>55</xdr:row>
      <xdr:rowOff>19849</xdr:rowOff>
    </xdr:from>
    <xdr:to>
      <xdr:col>4</xdr:col>
      <xdr:colOff>1476612</xdr:colOff>
      <xdr:row>55</xdr:row>
      <xdr:rowOff>172249</xdr:rowOff>
    </xdr:to>
    <xdr:pic>
      <xdr:nvPicPr>
        <xdr:cNvPr id="188" name="Graphic 187">
          <a:extLst>
            <a:ext uri="{FF2B5EF4-FFF2-40B4-BE49-F238E27FC236}">
              <a16:creationId xmlns:a16="http://schemas.microsoft.com/office/drawing/2014/main" id="{66D40F43-9FAC-461B-9600-C0A8D1D4DAFF}"/>
            </a:ext>
            <a:ext uri="{147F2762-F138-4A5C-976F-8EAC2B608ADB}">
              <a16:predDERef xmlns:a16="http://schemas.microsoft.com/office/drawing/2014/main" pred="{D9869385-E3E9-48AF-8AEA-A5C54A95F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3381612" y="10564024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23417</xdr:colOff>
      <xdr:row>51</xdr:row>
      <xdr:rowOff>20576</xdr:rowOff>
    </xdr:from>
    <xdr:to>
      <xdr:col>7</xdr:col>
      <xdr:colOff>232967</xdr:colOff>
      <xdr:row>51</xdr:row>
      <xdr:rowOff>172976</xdr:rowOff>
    </xdr:to>
    <xdr:pic>
      <xdr:nvPicPr>
        <xdr:cNvPr id="189" name="Graphic 188">
          <a:extLst>
            <a:ext uri="{FF2B5EF4-FFF2-40B4-BE49-F238E27FC236}">
              <a16:creationId xmlns:a16="http://schemas.microsoft.com/office/drawing/2014/main" id="{B29E90D8-0ACB-42E6-8B0A-2F3AF5C2CD64}"/>
            </a:ext>
            <a:ext uri="{147F2762-F138-4A5C-976F-8EAC2B608ADB}">
              <a16:predDERef xmlns:a16="http://schemas.microsoft.com/office/drawing/2014/main" pred="{66D40F43-9FAC-461B-9600-C0A8D1D4D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4214417" y="980275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61</xdr:row>
      <xdr:rowOff>17895</xdr:rowOff>
    </xdr:from>
    <xdr:to>
      <xdr:col>7</xdr:col>
      <xdr:colOff>228837</xdr:colOff>
      <xdr:row>61</xdr:row>
      <xdr:rowOff>170295</xdr:rowOff>
    </xdr:to>
    <xdr:pic>
      <xdr:nvPicPr>
        <xdr:cNvPr id="190" name="Graphic 189">
          <a:extLst>
            <a:ext uri="{FF2B5EF4-FFF2-40B4-BE49-F238E27FC236}">
              <a16:creationId xmlns:a16="http://schemas.microsoft.com/office/drawing/2014/main" id="{2041A232-6C75-469A-8901-4D7B2E621DCC}"/>
            </a:ext>
            <a:ext uri="{147F2762-F138-4A5C-976F-8EAC2B608ADB}">
              <a16:predDERef xmlns:a16="http://schemas.microsoft.com/office/drawing/2014/main" pred="{B29E90D8-0ACB-42E6-8B0A-2F3AF5C2C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4210287" y="1170507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1280252</xdr:colOff>
      <xdr:row>62</xdr:row>
      <xdr:rowOff>9933</xdr:rowOff>
    </xdr:from>
    <xdr:to>
      <xdr:col>4</xdr:col>
      <xdr:colOff>1489802</xdr:colOff>
      <xdr:row>62</xdr:row>
      <xdr:rowOff>162333</xdr:rowOff>
    </xdr:to>
    <xdr:pic>
      <xdr:nvPicPr>
        <xdr:cNvPr id="191" name="Graphic 190">
          <a:extLst>
            <a:ext uri="{FF2B5EF4-FFF2-40B4-BE49-F238E27FC236}">
              <a16:creationId xmlns:a16="http://schemas.microsoft.com/office/drawing/2014/main" id="{FE4B9485-F6AA-4F52-956A-7E1D92C37B10}"/>
            </a:ext>
            <a:ext uri="{147F2762-F138-4A5C-976F-8EAC2B608ADB}">
              <a16:predDERef xmlns:a16="http://schemas.microsoft.com/office/drawing/2014/main" pred="{2041A232-6C75-469A-8901-4D7B2E621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3394802" y="1188760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71</xdr:row>
      <xdr:rowOff>19458</xdr:rowOff>
    </xdr:from>
    <xdr:to>
      <xdr:col>7</xdr:col>
      <xdr:colOff>228837</xdr:colOff>
      <xdr:row>71</xdr:row>
      <xdr:rowOff>171858</xdr:rowOff>
    </xdr:to>
    <xdr:pic>
      <xdr:nvPicPr>
        <xdr:cNvPr id="192" name="Graphic 191">
          <a:extLst>
            <a:ext uri="{FF2B5EF4-FFF2-40B4-BE49-F238E27FC236}">
              <a16:creationId xmlns:a16="http://schemas.microsoft.com/office/drawing/2014/main" id="{1E9ADE1C-28E2-4F40-B825-0D86951080F6}"/>
            </a:ext>
            <a:ext uri="{147F2762-F138-4A5C-976F-8EAC2B608ADB}">
              <a16:predDERef xmlns:a16="http://schemas.microsoft.com/office/drawing/2014/main" pred="{FE4B9485-F6AA-4F52-956A-7E1D92C37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4210287" y="1361163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69</xdr:row>
      <xdr:rowOff>20576</xdr:rowOff>
    </xdr:from>
    <xdr:to>
      <xdr:col>7</xdr:col>
      <xdr:colOff>228837</xdr:colOff>
      <xdr:row>69</xdr:row>
      <xdr:rowOff>172976</xdr:rowOff>
    </xdr:to>
    <xdr:pic>
      <xdr:nvPicPr>
        <xdr:cNvPr id="194" name="Graphic 193">
          <a:extLst>
            <a:ext uri="{FF2B5EF4-FFF2-40B4-BE49-F238E27FC236}">
              <a16:creationId xmlns:a16="http://schemas.microsoft.com/office/drawing/2014/main" id="{7D2B5624-F239-4AEC-AEB0-88500E4118FA}"/>
            </a:ext>
            <a:ext uri="{147F2762-F138-4A5C-976F-8EAC2B608ADB}">
              <a16:predDERef xmlns:a16="http://schemas.microsoft.com/office/drawing/2014/main" pred="{7DA7BBB8-0FF4-4517-A52E-0CA5C5FA5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4210287" y="1323175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1255031</xdr:colOff>
      <xdr:row>52</xdr:row>
      <xdr:rowOff>21123</xdr:rowOff>
    </xdr:from>
    <xdr:to>
      <xdr:col>4</xdr:col>
      <xdr:colOff>1464581</xdr:colOff>
      <xdr:row>52</xdr:row>
      <xdr:rowOff>173523</xdr:rowOff>
    </xdr:to>
    <xdr:pic>
      <xdr:nvPicPr>
        <xdr:cNvPr id="199" name="Graphic 198">
          <a:extLst>
            <a:ext uri="{FF2B5EF4-FFF2-40B4-BE49-F238E27FC236}">
              <a16:creationId xmlns:a16="http://schemas.microsoft.com/office/drawing/2014/main" id="{49B0B1E0-79B7-4827-AFB1-4DCA0DF62F5E}"/>
            </a:ext>
            <a:ext uri="{147F2762-F138-4A5C-976F-8EAC2B608ADB}">
              <a16:predDERef xmlns:a16="http://schemas.microsoft.com/office/drawing/2014/main" pred="{392FE463-BABA-474D-B3E1-4AD6D176B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3369581" y="999379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15</xdr:row>
      <xdr:rowOff>19050</xdr:rowOff>
    </xdr:from>
    <xdr:to>
      <xdr:col>7</xdr:col>
      <xdr:colOff>219075</xdr:colOff>
      <xdr:row>15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6D60D7-263B-2905-A703-4417C42B4357}"/>
            </a:ext>
            <a:ext uri="{147F2762-F138-4A5C-976F-8EAC2B608ADB}">
              <a16:predDERef xmlns:a16="http://schemas.microsoft.com/office/drawing/2014/main" pred="{0C25B70A-7175-413E-8A4F-F7B9322F5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219575" y="2943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39</xdr:row>
      <xdr:rowOff>19050</xdr:rowOff>
    </xdr:from>
    <xdr:to>
      <xdr:col>7</xdr:col>
      <xdr:colOff>209550</xdr:colOff>
      <xdr:row>39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E1B5D36-C0A1-4E50-88CB-FDADEE6396CE}"/>
            </a:ext>
            <a:ext uri="{147F2762-F138-4A5C-976F-8EAC2B608ADB}">
              <a16:predDERef xmlns:a16="http://schemas.microsoft.com/office/drawing/2014/main" pred="{BB6D60D7-263B-2905-A703-4417C42B4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210050" y="7515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60</xdr:row>
      <xdr:rowOff>19050</xdr:rowOff>
    </xdr:from>
    <xdr:to>
      <xdr:col>4</xdr:col>
      <xdr:colOff>1466850</xdr:colOff>
      <xdr:row>60</xdr:row>
      <xdr:rowOff>161925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031B59A-81A8-4F0E-AA68-4D7B043C698D}"/>
            </a:ext>
            <a:ext uri="{147F2762-F138-4A5C-976F-8EAC2B608ADB}">
              <a16:predDERef xmlns:a16="http://schemas.microsoft.com/office/drawing/2014/main" pred="{BE1B5D36-C0A1-4E50-88CB-FDADEE639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3390900" y="11515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6</xdr:row>
      <xdr:rowOff>19050</xdr:rowOff>
    </xdr:from>
    <xdr:to>
      <xdr:col>7</xdr:col>
      <xdr:colOff>219075</xdr:colOff>
      <xdr:row>6</xdr:row>
      <xdr:rowOff>161925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9EE8444-1F25-2356-F4A0-9AA849A76C50}"/>
            </a:ext>
            <a:ext uri="{147F2762-F138-4A5C-976F-8EAC2B608ADB}">
              <a16:predDERef xmlns:a16="http://schemas.microsoft.com/office/drawing/2014/main" pred="{6B39E8F8-E0AA-48F6-9BE1-6FD3CD5E7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219575" y="1228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30</xdr:row>
      <xdr:rowOff>19050</xdr:rowOff>
    </xdr:from>
    <xdr:to>
      <xdr:col>7</xdr:col>
      <xdr:colOff>209550</xdr:colOff>
      <xdr:row>30</xdr:row>
      <xdr:rowOff>161925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D0739553-C807-45C2-8E0C-C1E8D304CA8A}"/>
            </a:ext>
            <a:ext uri="{147F2762-F138-4A5C-976F-8EAC2B608ADB}">
              <a16:predDERef xmlns:a16="http://schemas.microsoft.com/office/drawing/2014/main" pred="{69EE8444-1F25-2356-F4A0-9AA849A76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210050" y="5800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59</xdr:row>
      <xdr:rowOff>19050</xdr:rowOff>
    </xdr:from>
    <xdr:to>
      <xdr:col>4</xdr:col>
      <xdr:colOff>1466850</xdr:colOff>
      <xdr:row>59</xdr:row>
      <xdr:rowOff>161925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847CA9E4-7471-494A-8D45-FE9AFE54E8FD}"/>
            </a:ext>
            <a:ext uri="{147F2762-F138-4A5C-976F-8EAC2B608ADB}">
              <a16:predDERef xmlns:a16="http://schemas.microsoft.com/office/drawing/2014/main" pred="{D0739553-C807-45C2-8E0C-C1E8D304C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3390900" y="11325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7</xdr:row>
      <xdr:rowOff>28575</xdr:rowOff>
    </xdr:from>
    <xdr:to>
      <xdr:col>4</xdr:col>
      <xdr:colOff>1466850</xdr:colOff>
      <xdr:row>7</xdr:row>
      <xdr:rowOff>161925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383D23F-95CC-44E7-F347-5683F4589692}"/>
            </a:ext>
            <a:ext uri="{147F2762-F138-4A5C-976F-8EAC2B608ADB}">
              <a16:predDERef xmlns:a16="http://schemas.microsoft.com/office/drawing/2014/main" pred="{847CA9E4-7471-494A-8D45-FE9AFE54E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3400425" y="1428750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</xdr:row>
      <xdr:rowOff>19050</xdr:rowOff>
    </xdr:from>
    <xdr:to>
      <xdr:col>4</xdr:col>
      <xdr:colOff>1466850</xdr:colOff>
      <xdr:row>6</xdr:row>
      <xdr:rowOff>152400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8B0F07F1-CACA-B80C-9E7E-82D6DBAFAEAD}"/>
            </a:ext>
            <a:ext uri="{147F2762-F138-4A5C-976F-8EAC2B608ADB}">
              <a16:predDERef xmlns:a16="http://schemas.microsoft.com/office/drawing/2014/main" pred="{4383D23F-95CC-44E7-F347-5683F4589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3390900" y="1228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33</xdr:row>
      <xdr:rowOff>19050</xdr:rowOff>
    </xdr:from>
    <xdr:to>
      <xdr:col>7</xdr:col>
      <xdr:colOff>200025</xdr:colOff>
      <xdr:row>33</xdr:row>
      <xdr:rowOff>152400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5EC2B216-D836-45D8-8687-C70EE6030040}"/>
            </a:ext>
            <a:ext uri="{147F2762-F138-4A5C-976F-8EAC2B608ADB}">
              <a16:predDERef xmlns:a16="http://schemas.microsoft.com/office/drawing/2014/main" pred="{8B0F07F1-CACA-B80C-9E7E-82D6DBAFA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210050" y="6372225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59</xdr:row>
      <xdr:rowOff>19050</xdr:rowOff>
    </xdr:from>
    <xdr:to>
      <xdr:col>7</xdr:col>
      <xdr:colOff>209550</xdr:colOff>
      <xdr:row>59</xdr:row>
      <xdr:rowOff>152400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AB6E75E2-D7BB-4FA9-93F5-63B0296369A7}"/>
            </a:ext>
            <a:ext uri="{147F2762-F138-4A5C-976F-8EAC2B608ADB}">
              <a16:predDERef xmlns:a16="http://schemas.microsoft.com/office/drawing/2014/main" pred="{5EC2B216-D836-45D8-8687-C70EE6030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219575" y="11325225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33</xdr:row>
      <xdr:rowOff>19050</xdr:rowOff>
    </xdr:from>
    <xdr:to>
      <xdr:col>4</xdr:col>
      <xdr:colOff>1466850</xdr:colOff>
      <xdr:row>33</xdr:row>
      <xdr:rowOff>152400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437C0994-7F98-40EB-905D-E5E44D2B304B}"/>
            </a:ext>
            <a:ext uri="{147F2762-F138-4A5C-976F-8EAC2B608ADB}">
              <a16:predDERef xmlns:a16="http://schemas.microsoft.com/office/drawing/2014/main" pred="{AB6E75E2-D7BB-4FA9-93F5-63B029636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3390900" y="63722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58</xdr:row>
      <xdr:rowOff>19050</xdr:rowOff>
    </xdr:from>
    <xdr:to>
      <xdr:col>7</xdr:col>
      <xdr:colOff>219075</xdr:colOff>
      <xdr:row>58</xdr:row>
      <xdr:rowOff>152400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C16ACF93-8809-49B5-A1C7-6D4825FAD0E8}"/>
            </a:ext>
            <a:ext uri="{147F2762-F138-4A5C-976F-8EAC2B608ADB}">
              <a16:predDERef xmlns:a16="http://schemas.microsoft.com/office/drawing/2014/main" pred="{437C0994-7F98-40EB-905D-E5E44D2B3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4219575" y="11134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</xdr:row>
      <xdr:rowOff>9525</xdr:rowOff>
    </xdr:from>
    <xdr:to>
      <xdr:col>7</xdr:col>
      <xdr:colOff>228600</xdr:colOff>
      <xdr:row>7</xdr:row>
      <xdr:rowOff>161925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D43BCD2C-6856-30EB-249D-4ABD75B8C5FA}"/>
            </a:ext>
            <a:ext uri="{147F2762-F138-4A5C-976F-8EAC2B608ADB}">
              <a16:predDERef xmlns:a16="http://schemas.microsoft.com/office/drawing/2014/main" pred="{C16ACF93-8809-49B5-A1C7-6D4825FAD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4210050" y="14097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30</xdr:row>
      <xdr:rowOff>19050</xdr:rowOff>
    </xdr:from>
    <xdr:to>
      <xdr:col>4</xdr:col>
      <xdr:colOff>1476375</xdr:colOff>
      <xdr:row>30</xdr:row>
      <xdr:rowOff>171450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50CC640E-DC57-4408-A445-0690585C932E}"/>
            </a:ext>
            <a:ext uri="{147F2762-F138-4A5C-976F-8EAC2B608ADB}">
              <a16:predDERef xmlns:a16="http://schemas.microsoft.com/office/drawing/2014/main" pred="{D43BCD2C-6856-30EB-249D-4ABD75B8C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3381375" y="5800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58</xdr:row>
      <xdr:rowOff>9525</xdr:rowOff>
    </xdr:from>
    <xdr:to>
      <xdr:col>4</xdr:col>
      <xdr:colOff>1466850</xdr:colOff>
      <xdr:row>58</xdr:row>
      <xdr:rowOff>152400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4491A8DE-4C7D-4A7F-91F7-654A69FABD2F}"/>
            </a:ext>
            <a:ext uri="{147F2762-F138-4A5C-976F-8EAC2B608ADB}">
              <a16:predDERef xmlns:a16="http://schemas.microsoft.com/office/drawing/2014/main" pred="{50CC640E-DC57-4408-A445-0690585C9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3390900" y="11125200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8</xdr:row>
      <xdr:rowOff>19050</xdr:rowOff>
    </xdr:from>
    <xdr:to>
      <xdr:col>4</xdr:col>
      <xdr:colOff>1476375</xdr:colOff>
      <xdr:row>8</xdr:row>
      <xdr:rowOff>161925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F10288F3-340E-31EB-D5F3-1743FD0B3316}"/>
            </a:ext>
            <a:ext uri="{147F2762-F138-4A5C-976F-8EAC2B608ADB}">
              <a16:predDERef xmlns:a16="http://schemas.microsoft.com/office/drawing/2014/main" pred="{4491A8DE-4C7D-4A7F-91F7-654A69FAB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400425" y="160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32</xdr:row>
      <xdr:rowOff>19050</xdr:rowOff>
    </xdr:from>
    <xdr:to>
      <xdr:col>4</xdr:col>
      <xdr:colOff>1476375</xdr:colOff>
      <xdr:row>32</xdr:row>
      <xdr:rowOff>161925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1A30AF2-AAF9-4147-85D7-78FF27D522C5}"/>
            </a:ext>
            <a:ext uri="{147F2762-F138-4A5C-976F-8EAC2B608ADB}">
              <a16:predDERef xmlns:a16="http://schemas.microsoft.com/office/drawing/2014/main" pred="{F10288F3-340E-31EB-D5F3-1743FD0B3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400425" y="6181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56</xdr:row>
      <xdr:rowOff>19050</xdr:rowOff>
    </xdr:from>
    <xdr:to>
      <xdr:col>7</xdr:col>
      <xdr:colOff>219075</xdr:colOff>
      <xdr:row>56</xdr:row>
      <xdr:rowOff>161925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99A09E97-3C00-4DBA-8301-04FB23CA2A5C}"/>
            </a:ext>
            <a:ext uri="{147F2762-F138-4A5C-976F-8EAC2B608ADB}">
              <a16:predDERef xmlns:a16="http://schemas.microsoft.com/office/drawing/2014/main" pred="{81A30AF2-AAF9-4147-85D7-78FF27D52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219575" y="10753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8</xdr:row>
      <xdr:rowOff>19050</xdr:rowOff>
    </xdr:from>
    <xdr:to>
      <xdr:col>7</xdr:col>
      <xdr:colOff>228600</xdr:colOff>
      <xdr:row>8</xdr:row>
      <xdr:rowOff>161925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72EA11BF-CA51-52E5-F4E9-630CE4982DFA}"/>
            </a:ext>
            <a:ext uri="{147F2762-F138-4A5C-976F-8EAC2B608ADB}">
              <a16:predDERef xmlns:a16="http://schemas.microsoft.com/office/drawing/2014/main" pred="{99A09E97-3C00-4DBA-8301-04FB23CA2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219575" y="1609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31</xdr:row>
      <xdr:rowOff>19050</xdr:rowOff>
    </xdr:from>
    <xdr:to>
      <xdr:col>7</xdr:col>
      <xdr:colOff>219075</xdr:colOff>
      <xdr:row>31</xdr:row>
      <xdr:rowOff>161925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52BD69E4-E968-4B71-B47D-370F99BCA0D6}"/>
            </a:ext>
            <a:ext uri="{147F2762-F138-4A5C-976F-8EAC2B608ADB}">
              <a16:predDERef xmlns:a16="http://schemas.microsoft.com/office/drawing/2014/main" pred="{72EA11BF-CA51-52E5-F4E9-630CE4982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210050" y="5991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57</xdr:row>
      <xdr:rowOff>19050</xdr:rowOff>
    </xdr:from>
    <xdr:to>
      <xdr:col>4</xdr:col>
      <xdr:colOff>1476375</xdr:colOff>
      <xdr:row>57</xdr:row>
      <xdr:rowOff>161925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3CCE7B5F-C44C-4BB2-B714-87A9AF6C134E}"/>
            </a:ext>
            <a:ext uri="{147F2762-F138-4A5C-976F-8EAC2B608ADB}">
              <a16:predDERef xmlns:a16="http://schemas.microsoft.com/office/drawing/2014/main" pred="{52BD69E4-E968-4B71-B47D-370F99BCA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3390900" y="10944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9</xdr:row>
      <xdr:rowOff>19050</xdr:rowOff>
    </xdr:from>
    <xdr:to>
      <xdr:col>7</xdr:col>
      <xdr:colOff>219075</xdr:colOff>
      <xdr:row>9</xdr:row>
      <xdr:rowOff>161925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27766BD1-06AD-C18B-F134-FD484D5341A6}"/>
            </a:ext>
            <a:ext uri="{147F2762-F138-4A5C-976F-8EAC2B608ADB}">
              <a16:predDERef xmlns:a16="http://schemas.microsoft.com/office/drawing/2014/main" pred="{3CCE7B5F-C44C-4BB2-B714-87A9AF6C1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219575" y="1800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37</xdr:row>
      <xdr:rowOff>19050</xdr:rowOff>
    </xdr:from>
    <xdr:to>
      <xdr:col>7</xdr:col>
      <xdr:colOff>209550</xdr:colOff>
      <xdr:row>37</xdr:row>
      <xdr:rowOff>161925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C4B92765-1367-404F-A79F-C9AD30ACC023}"/>
            </a:ext>
            <a:ext uri="{147F2762-F138-4A5C-976F-8EAC2B608ADB}">
              <a16:predDERef xmlns:a16="http://schemas.microsoft.com/office/drawing/2014/main" pred="{27766BD1-06AD-C18B-F134-FD484D534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210050" y="713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65</xdr:row>
      <xdr:rowOff>19050</xdr:rowOff>
    </xdr:from>
    <xdr:to>
      <xdr:col>4</xdr:col>
      <xdr:colOff>1476375</xdr:colOff>
      <xdr:row>65</xdr:row>
      <xdr:rowOff>161925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9B133708-FEC3-4B81-8B27-27A17D261279}"/>
            </a:ext>
            <a:ext uri="{147F2762-F138-4A5C-976F-8EAC2B608ADB}">
              <a16:predDERef xmlns:a16="http://schemas.microsoft.com/office/drawing/2014/main" pred="{C4B92765-1367-404F-A79F-C9AD30ACC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3400425" y="12468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10</xdr:row>
      <xdr:rowOff>9525</xdr:rowOff>
    </xdr:from>
    <xdr:to>
      <xdr:col>4</xdr:col>
      <xdr:colOff>1476375</xdr:colOff>
      <xdr:row>10</xdr:row>
      <xdr:rowOff>161925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51D84315-7B60-FFFB-C340-A001D0A5FF07}"/>
            </a:ext>
            <a:ext uri="{147F2762-F138-4A5C-976F-8EAC2B608ADB}">
              <a16:predDERef xmlns:a16="http://schemas.microsoft.com/office/drawing/2014/main" pred="{9B133708-FEC3-4B81-8B27-27A17D261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3390900" y="1981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34</xdr:row>
      <xdr:rowOff>19050</xdr:rowOff>
    </xdr:from>
    <xdr:to>
      <xdr:col>7</xdr:col>
      <xdr:colOff>219075</xdr:colOff>
      <xdr:row>34</xdr:row>
      <xdr:rowOff>171450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7597E444-EDCC-403A-A2D9-9CBFDE5DE51C}"/>
            </a:ext>
            <a:ext uri="{147F2762-F138-4A5C-976F-8EAC2B608ADB}">
              <a16:predDERef xmlns:a16="http://schemas.microsoft.com/office/drawing/2014/main" pred="{51D84315-7B60-FFFB-C340-A001D0A5F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210050" y="6562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55</xdr:row>
      <xdr:rowOff>19050</xdr:rowOff>
    </xdr:from>
    <xdr:to>
      <xdr:col>7</xdr:col>
      <xdr:colOff>228600</xdr:colOff>
      <xdr:row>55</xdr:row>
      <xdr:rowOff>171450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A6275DFE-A44B-4640-B04D-AED21754C274}"/>
            </a:ext>
            <a:ext uri="{147F2762-F138-4A5C-976F-8EAC2B608ADB}">
              <a16:predDERef xmlns:a16="http://schemas.microsoft.com/office/drawing/2014/main" pred="{7597E444-EDCC-403A-A2D9-9CBFDE5DE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219575" y="10563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10</xdr:row>
      <xdr:rowOff>19050</xdr:rowOff>
    </xdr:from>
    <xdr:to>
      <xdr:col>7</xdr:col>
      <xdr:colOff>228600</xdr:colOff>
      <xdr:row>10</xdr:row>
      <xdr:rowOff>161925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345EE2B6-4254-4757-A17A-E588F3FF68D1}"/>
            </a:ext>
            <a:ext uri="{147F2762-F138-4A5C-976F-8EAC2B608ADB}">
              <a16:predDERef xmlns:a16="http://schemas.microsoft.com/office/drawing/2014/main" pred="{A6275DFE-A44B-4640-B04D-AED21754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219575" y="1990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35</xdr:row>
      <xdr:rowOff>19050</xdr:rowOff>
    </xdr:from>
    <xdr:to>
      <xdr:col>4</xdr:col>
      <xdr:colOff>1476375</xdr:colOff>
      <xdr:row>35</xdr:row>
      <xdr:rowOff>161925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69D3DB6-1929-49D0-932F-7437024DE66D}"/>
            </a:ext>
            <a:ext uri="{147F2762-F138-4A5C-976F-8EAC2B608ADB}">
              <a16:predDERef xmlns:a16="http://schemas.microsoft.com/office/drawing/2014/main" pred="{345EE2B6-4254-4757-A17A-E588F3FF6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3390900" y="6753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54</xdr:row>
      <xdr:rowOff>19050</xdr:rowOff>
    </xdr:from>
    <xdr:to>
      <xdr:col>4</xdr:col>
      <xdr:colOff>1476375</xdr:colOff>
      <xdr:row>54</xdr:row>
      <xdr:rowOff>161925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010337C5-CF48-44DE-A32D-2BC9C520099F}"/>
            </a:ext>
            <a:ext uri="{147F2762-F138-4A5C-976F-8EAC2B608ADB}">
              <a16:predDERef xmlns:a16="http://schemas.microsoft.com/office/drawing/2014/main" pred="{869D3DB6-1929-49D0-932F-7437024DE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3390900" y="10372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11</xdr:row>
      <xdr:rowOff>19050</xdr:rowOff>
    </xdr:from>
    <xdr:to>
      <xdr:col>7</xdr:col>
      <xdr:colOff>219075</xdr:colOff>
      <xdr:row>11</xdr:row>
      <xdr:rowOff>161925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DFC93723-4221-C3D7-F719-7819AE9485BA}"/>
            </a:ext>
            <a:ext uri="{147F2762-F138-4A5C-976F-8EAC2B608ADB}">
              <a16:predDERef xmlns:a16="http://schemas.microsoft.com/office/drawing/2014/main" pred="{010337C5-CF48-44DE-A32D-2BC9C5200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219575" y="2181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37</xdr:row>
      <xdr:rowOff>19050</xdr:rowOff>
    </xdr:from>
    <xdr:to>
      <xdr:col>4</xdr:col>
      <xdr:colOff>1466850</xdr:colOff>
      <xdr:row>37</xdr:row>
      <xdr:rowOff>161925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29EA175C-4B47-4A09-AF7C-2432E57EE030}"/>
            </a:ext>
            <a:ext uri="{147F2762-F138-4A5C-976F-8EAC2B608ADB}">
              <a16:predDERef xmlns:a16="http://schemas.microsoft.com/office/drawing/2014/main" pred="{DFC93723-4221-C3D7-F719-7819AE948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3390900" y="713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64</xdr:row>
      <xdr:rowOff>19050</xdr:rowOff>
    </xdr:from>
    <xdr:to>
      <xdr:col>4</xdr:col>
      <xdr:colOff>1476375</xdr:colOff>
      <xdr:row>64</xdr:row>
      <xdr:rowOff>161925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73AEA0E1-7CF9-49AB-8A6F-BF04537168F5}"/>
            </a:ext>
            <a:ext uri="{147F2762-F138-4A5C-976F-8EAC2B608ADB}">
              <a16:predDERef xmlns:a16="http://schemas.microsoft.com/office/drawing/2014/main" pred="{29EA175C-4B47-4A09-AF7C-2432E57EE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3400425" y="12277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54</xdr:row>
      <xdr:rowOff>19050</xdr:rowOff>
    </xdr:from>
    <xdr:to>
      <xdr:col>7</xdr:col>
      <xdr:colOff>228600</xdr:colOff>
      <xdr:row>54</xdr:row>
      <xdr:rowOff>171450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9ED42E84-6C21-450C-999C-39421CF91D08}"/>
            </a:ext>
            <a:ext uri="{147F2762-F138-4A5C-976F-8EAC2B608ADB}">
              <a16:predDERef xmlns:a16="http://schemas.microsoft.com/office/drawing/2014/main" pred="{73AEA0E1-7CF9-49AB-8A6F-BF0453716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4210050" y="10372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1304925</xdr:colOff>
      <xdr:row>56</xdr:row>
      <xdr:rowOff>19050</xdr:rowOff>
    </xdr:from>
    <xdr:to>
      <xdr:col>4</xdr:col>
      <xdr:colOff>1457325</xdr:colOff>
      <xdr:row>56</xdr:row>
      <xdr:rowOff>171450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61770197-C4C3-4510-8FFE-B312E09827E7}"/>
            </a:ext>
            <a:ext uri="{147F2762-F138-4A5C-976F-8EAC2B608ADB}">
              <a16:predDERef xmlns:a16="http://schemas.microsoft.com/office/drawing/2014/main" pred="{9ED42E84-6C21-450C-999C-39421CF91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3419475" y="107537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14</xdr:row>
      <xdr:rowOff>9525</xdr:rowOff>
    </xdr:from>
    <xdr:to>
      <xdr:col>4</xdr:col>
      <xdr:colOff>1476375</xdr:colOff>
      <xdr:row>14</xdr:row>
      <xdr:rowOff>161925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F068B2FF-8EDA-33E5-40CE-E16D2A3EF311}"/>
            </a:ext>
            <a:ext uri="{147F2762-F138-4A5C-976F-8EAC2B608ADB}">
              <a16:predDERef xmlns:a16="http://schemas.microsoft.com/office/drawing/2014/main" pred="{61770197-C4C3-4510-8FFE-B312E0982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3381375" y="2743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38</xdr:row>
      <xdr:rowOff>19050</xdr:rowOff>
    </xdr:from>
    <xdr:to>
      <xdr:col>7</xdr:col>
      <xdr:colOff>228600</xdr:colOff>
      <xdr:row>38</xdr:row>
      <xdr:rowOff>171450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A7A78207-A08D-41CC-AA47-8B1BA5E27D5F}"/>
            </a:ext>
            <a:ext uri="{147F2762-F138-4A5C-976F-8EAC2B608ADB}">
              <a16:predDERef xmlns:a16="http://schemas.microsoft.com/office/drawing/2014/main" pred="{F068B2FF-8EDA-33E5-40CE-E16D2A3EF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4210050" y="7324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60</xdr:row>
      <xdr:rowOff>19050</xdr:rowOff>
    </xdr:from>
    <xdr:to>
      <xdr:col>7</xdr:col>
      <xdr:colOff>228600</xdr:colOff>
      <xdr:row>60</xdr:row>
      <xdr:rowOff>171450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9DBE3F33-0403-456B-B4B8-1E91BB1BA8B9}"/>
            </a:ext>
            <a:ext uri="{147F2762-F138-4A5C-976F-8EAC2B608ADB}">
              <a16:predDERef xmlns:a16="http://schemas.microsoft.com/office/drawing/2014/main" pred="{A7A78207-A08D-41CC-AA47-8B1BA5E27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4210050" y="11515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14</xdr:row>
      <xdr:rowOff>9525</xdr:rowOff>
    </xdr:from>
    <xdr:to>
      <xdr:col>7</xdr:col>
      <xdr:colOff>219075</xdr:colOff>
      <xdr:row>14</xdr:row>
      <xdr:rowOff>161925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202897AA-DDF6-4593-8863-955ADF52A029}"/>
            </a:ext>
            <a:ext uri="{147F2762-F138-4A5C-976F-8EAC2B608ADB}">
              <a16:predDERef xmlns:a16="http://schemas.microsoft.com/office/drawing/2014/main" pred="{9DBE3F33-0403-456B-B4B8-1E91BB1BA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4210050" y="2743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39</xdr:row>
      <xdr:rowOff>19050</xdr:rowOff>
    </xdr:from>
    <xdr:to>
      <xdr:col>4</xdr:col>
      <xdr:colOff>1476375</xdr:colOff>
      <xdr:row>39</xdr:row>
      <xdr:rowOff>171450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EC4F796A-976A-4D1A-A99F-A4DAD1E3B03B}"/>
            </a:ext>
            <a:ext uri="{147F2762-F138-4A5C-976F-8EAC2B608ADB}">
              <a16:predDERef xmlns:a16="http://schemas.microsoft.com/office/drawing/2014/main" pred="{202897AA-DDF6-4593-8863-955ADF52A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3390900" y="7515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61</xdr:row>
      <xdr:rowOff>19050</xdr:rowOff>
    </xdr:from>
    <xdr:to>
      <xdr:col>4</xdr:col>
      <xdr:colOff>1476375</xdr:colOff>
      <xdr:row>61</xdr:row>
      <xdr:rowOff>171450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CAD0A170-AEE0-4773-8608-BDCE577B3783}"/>
            </a:ext>
            <a:ext uri="{147F2762-F138-4A5C-976F-8EAC2B608ADB}">
              <a16:predDERef xmlns:a16="http://schemas.microsoft.com/office/drawing/2014/main" pred="{EC4F796A-976A-4D1A-A99F-A4DAD1E3B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3390900" y="11706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16</xdr:row>
      <xdr:rowOff>19050</xdr:rowOff>
    </xdr:from>
    <xdr:to>
      <xdr:col>4</xdr:col>
      <xdr:colOff>1476375</xdr:colOff>
      <xdr:row>16</xdr:row>
      <xdr:rowOff>171450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F0E9C929-8FCA-12A2-FFC0-4B473B22CB76}"/>
            </a:ext>
            <a:ext uri="{147F2762-F138-4A5C-976F-8EAC2B608ADB}">
              <a16:predDERef xmlns:a16="http://schemas.microsoft.com/office/drawing/2014/main" pred="{CAD0A170-AEE0-4773-8608-BDCE577B3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3381375" y="3133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40</xdr:row>
      <xdr:rowOff>19050</xdr:rowOff>
    </xdr:from>
    <xdr:to>
      <xdr:col>4</xdr:col>
      <xdr:colOff>1476375</xdr:colOff>
      <xdr:row>40</xdr:row>
      <xdr:rowOff>171450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1AC42D6E-85FE-49C9-97F4-B291E1538138}"/>
            </a:ext>
            <a:ext uri="{147F2762-F138-4A5C-976F-8EAC2B608ADB}">
              <a16:predDERef xmlns:a16="http://schemas.microsoft.com/office/drawing/2014/main" pred="{F0E9C929-8FCA-12A2-FFC0-4B473B22C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3381375" y="7705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63</xdr:row>
      <xdr:rowOff>19050</xdr:rowOff>
    </xdr:from>
    <xdr:to>
      <xdr:col>7</xdr:col>
      <xdr:colOff>228600</xdr:colOff>
      <xdr:row>63</xdr:row>
      <xdr:rowOff>171450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DA269B76-E247-48A7-BB6E-61336BBE7F43}"/>
            </a:ext>
            <a:ext uri="{147F2762-F138-4A5C-976F-8EAC2B608ADB}">
              <a16:predDERef xmlns:a16="http://schemas.microsoft.com/office/drawing/2014/main" pred="{1AC42D6E-85FE-49C9-97F4-B291E1538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210050" y="12087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17</xdr:row>
      <xdr:rowOff>19050</xdr:rowOff>
    </xdr:from>
    <xdr:to>
      <xdr:col>4</xdr:col>
      <xdr:colOff>1476375</xdr:colOff>
      <xdr:row>17</xdr:row>
      <xdr:rowOff>171450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42BE210D-9B31-6BD2-97A1-AAE93B7E7EF7}"/>
            </a:ext>
            <a:ext uri="{147F2762-F138-4A5C-976F-8EAC2B608ADB}">
              <a16:predDERef xmlns:a16="http://schemas.microsoft.com/office/drawing/2014/main" pred="{DA269B76-E247-48A7-BB6E-61336BBE7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3381375" y="3324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40</xdr:row>
      <xdr:rowOff>9525</xdr:rowOff>
    </xdr:from>
    <xdr:to>
      <xdr:col>7</xdr:col>
      <xdr:colOff>228600</xdr:colOff>
      <xdr:row>40</xdr:row>
      <xdr:rowOff>161925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7BFCCDE7-B76F-4E04-A483-859E0B88B19A}"/>
            </a:ext>
            <a:ext uri="{147F2762-F138-4A5C-976F-8EAC2B608ADB}">
              <a16:predDERef xmlns:a16="http://schemas.microsoft.com/office/drawing/2014/main" pred="{42BE210D-9B31-6BD2-97A1-AAE93B7E7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210050" y="7696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62</xdr:row>
      <xdr:rowOff>9525</xdr:rowOff>
    </xdr:from>
    <xdr:to>
      <xdr:col>7</xdr:col>
      <xdr:colOff>228600</xdr:colOff>
      <xdr:row>62</xdr:row>
      <xdr:rowOff>161925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E57668A2-C937-4BB1-8E0A-C138846A902B}"/>
            </a:ext>
            <a:ext uri="{147F2762-F138-4A5C-976F-8EAC2B608ADB}">
              <a16:predDERef xmlns:a16="http://schemas.microsoft.com/office/drawing/2014/main" pred="{7BFCCDE7-B76F-4E04-A483-859E0B88B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210050" y="11887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17</xdr:row>
      <xdr:rowOff>19050</xdr:rowOff>
    </xdr:from>
    <xdr:to>
      <xdr:col>7</xdr:col>
      <xdr:colOff>228600</xdr:colOff>
      <xdr:row>17</xdr:row>
      <xdr:rowOff>171450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C196E4D8-8C61-AC6E-8410-08C8A794DFC1}"/>
            </a:ext>
            <a:ext uri="{147F2762-F138-4A5C-976F-8EAC2B608ADB}">
              <a16:predDERef xmlns:a16="http://schemas.microsoft.com/office/drawing/2014/main" pred="{E57668A2-C937-4BB1-8E0A-C138846A9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4210050" y="3324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41</xdr:row>
      <xdr:rowOff>19050</xdr:rowOff>
    </xdr:from>
    <xdr:to>
      <xdr:col>4</xdr:col>
      <xdr:colOff>1476375</xdr:colOff>
      <xdr:row>41</xdr:row>
      <xdr:rowOff>171450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4DF58BED-8D8C-4C50-97F6-E4630ED8C319}"/>
            </a:ext>
            <a:ext uri="{147F2762-F138-4A5C-976F-8EAC2B608ADB}">
              <a16:predDERef xmlns:a16="http://schemas.microsoft.com/office/drawing/2014/main" pred="{C196E4D8-8C61-AC6E-8410-08C8A794D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3381375" y="7896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63</xdr:row>
      <xdr:rowOff>19050</xdr:rowOff>
    </xdr:from>
    <xdr:to>
      <xdr:col>4</xdr:col>
      <xdr:colOff>1476375</xdr:colOff>
      <xdr:row>63</xdr:row>
      <xdr:rowOff>171450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72B4D245-49FF-45DB-A827-8BE8A1A8B48F}"/>
            </a:ext>
            <a:ext uri="{147F2762-F138-4A5C-976F-8EAC2B608ADB}">
              <a16:predDERef xmlns:a16="http://schemas.microsoft.com/office/drawing/2014/main" pred="{4DF58BED-8D8C-4C50-97F6-E4630ED8C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3381375" y="12087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18</xdr:row>
      <xdr:rowOff>19050</xdr:rowOff>
    </xdr:from>
    <xdr:to>
      <xdr:col>7</xdr:col>
      <xdr:colOff>219075</xdr:colOff>
      <xdr:row>18</xdr:row>
      <xdr:rowOff>161925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0B455958-3603-1715-E2F5-6FB6F0CECE86}"/>
            </a:ext>
            <a:ext uri="{147F2762-F138-4A5C-976F-8EAC2B608ADB}">
              <a16:predDERef xmlns:a16="http://schemas.microsoft.com/office/drawing/2014/main" pred="{72B4D245-49FF-45DB-A827-8BE8A1A8B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1"/>
        <a:stretch>
          <a:fillRect/>
        </a:stretch>
      </xdr:blipFill>
      <xdr:spPr>
        <a:xfrm>
          <a:off x="4210050" y="3514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19</xdr:row>
      <xdr:rowOff>19050</xdr:rowOff>
    </xdr:from>
    <xdr:to>
      <xdr:col>7</xdr:col>
      <xdr:colOff>219075</xdr:colOff>
      <xdr:row>19</xdr:row>
      <xdr:rowOff>161925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098924BF-98E1-1FE5-2B9D-308786AA69E7}"/>
            </a:ext>
            <a:ext uri="{147F2762-F138-4A5C-976F-8EAC2B608ADB}">
              <a16:predDERef xmlns:a16="http://schemas.microsoft.com/office/drawing/2014/main" pred="{0B455958-3603-1715-E2F5-6FB6F0CEC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4210050" y="3705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42</xdr:row>
      <xdr:rowOff>19050</xdr:rowOff>
    </xdr:from>
    <xdr:to>
      <xdr:col>7</xdr:col>
      <xdr:colOff>219075</xdr:colOff>
      <xdr:row>42</xdr:row>
      <xdr:rowOff>161925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88179672-29A1-458E-A299-B8EC1111A123}"/>
            </a:ext>
            <a:ext uri="{147F2762-F138-4A5C-976F-8EAC2B608ADB}">
              <a16:predDERef xmlns:a16="http://schemas.microsoft.com/office/drawing/2014/main" pred="{098924BF-98E1-1FE5-2B9D-308786AA6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4210050" y="8086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70</xdr:row>
      <xdr:rowOff>19050</xdr:rowOff>
    </xdr:from>
    <xdr:to>
      <xdr:col>4</xdr:col>
      <xdr:colOff>1476375</xdr:colOff>
      <xdr:row>70</xdr:row>
      <xdr:rowOff>161925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E21C3AC7-2626-421F-91DF-9CA29ADCAAA7}"/>
            </a:ext>
            <a:ext uri="{147F2762-F138-4A5C-976F-8EAC2B608ADB}">
              <a16:predDERef xmlns:a16="http://schemas.microsoft.com/office/drawing/2014/main" pred="{88179672-29A1-458E-A299-B8EC1111A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3390900" y="13420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20</xdr:row>
      <xdr:rowOff>19050</xdr:rowOff>
    </xdr:from>
    <xdr:to>
      <xdr:col>4</xdr:col>
      <xdr:colOff>1476375</xdr:colOff>
      <xdr:row>20</xdr:row>
      <xdr:rowOff>161925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A339F249-01B0-573D-1A51-832F90447E7F}"/>
            </a:ext>
            <a:ext uri="{147F2762-F138-4A5C-976F-8EAC2B608ADB}">
              <a16:predDERef xmlns:a16="http://schemas.microsoft.com/office/drawing/2014/main" pred="{E21C3AC7-2626-421F-91DF-9CA29ADCA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3390900" y="3895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44</xdr:row>
      <xdr:rowOff>19050</xdr:rowOff>
    </xdr:from>
    <xdr:to>
      <xdr:col>7</xdr:col>
      <xdr:colOff>219075</xdr:colOff>
      <xdr:row>44</xdr:row>
      <xdr:rowOff>161925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B1AC6EF9-7793-4689-A249-1B24963F6EFA}"/>
            </a:ext>
            <a:ext uri="{147F2762-F138-4A5C-976F-8EAC2B608ADB}">
              <a16:predDERef xmlns:a16="http://schemas.microsoft.com/office/drawing/2014/main" pred="{A339F249-01B0-573D-1A51-832F90447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4210050" y="8467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68</xdr:row>
      <xdr:rowOff>19050</xdr:rowOff>
    </xdr:from>
    <xdr:to>
      <xdr:col>7</xdr:col>
      <xdr:colOff>219075</xdr:colOff>
      <xdr:row>68</xdr:row>
      <xdr:rowOff>161925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4191B125-922F-4D8D-927A-F296134E6639}"/>
            </a:ext>
            <a:ext uri="{147F2762-F138-4A5C-976F-8EAC2B608ADB}">
              <a16:predDERef xmlns:a16="http://schemas.microsoft.com/office/drawing/2014/main" pred="{B1AC6EF9-7793-4689-A249-1B24963F6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4210050" y="13039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23</xdr:row>
      <xdr:rowOff>19050</xdr:rowOff>
    </xdr:from>
    <xdr:to>
      <xdr:col>4</xdr:col>
      <xdr:colOff>1476375</xdr:colOff>
      <xdr:row>23</xdr:row>
      <xdr:rowOff>161925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FB6A1F23-356F-03C8-89A9-A58D53733FA6}"/>
            </a:ext>
            <a:ext uri="{147F2762-F138-4A5C-976F-8EAC2B608ADB}">
              <a16:predDERef xmlns:a16="http://schemas.microsoft.com/office/drawing/2014/main" pred="{4191B125-922F-4D8D-927A-F296134E6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3390900" y="4467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47</xdr:row>
      <xdr:rowOff>19050</xdr:rowOff>
    </xdr:from>
    <xdr:to>
      <xdr:col>7</xdr:col>
      <xdr:colOff>219075</xdr:colOff>
      <xdr:row>47</xdr:row>
      <xdr:rowOff>161925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30F1C7B3-F84D-454E-9558-C12993D76B14}"/>
            </a:ext>
            <a:ext uri="{147F2762-F138-4A5C-976F-8EAC2B608ADB}">
              <a16:predDERef xmlns:a16="http://schemas.microsoft.com/office/drawing/2014/main" pred="{FB6A1F23-356F-03C8-89A9-A58D53733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4210050" y="903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67</xdr:row>
      <xdr:rowOff>19050</xdr:rowOff>
    </xdr:from>
    <xdr:to>
      <xdr:col>7</xdr:col>
      <xdr:colOff>219075</xdr:colOff>
      <xdr:row>67</xdr:row>
      <xdr:rowOff>161925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77FD7135-3C30-4340-A2CD-50300F9A1557}"/>
            </a:ext>
            <a:ext uri="{147F2762-F138-4A5C-976F-8EAC2B608ADB}">
              <a16:predDERef xmlns:a16="http://schemas.microsoft.com/office/drawing/2014/main" pred="{30F1C7B3-F84D-454E-9558-C12993D76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4210050" y="1284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45</xdr:row>
      <xdr:rowOff>19050</xdr:rowOff>
    </xdr:from>
    <xdr:to>
      <xdr:col>4</xdr:col>
      <xdr:colOff>1466850</xdr:colOff>
      <xdr:row>45</xdr:row>
      <xdr:rowOff>161925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B8298630-2532-ECAB-1AE9-D392529F0BB3}"/>
            </a:ext>
            <a:ext uri="{147F2762-F138-4A5C-976F-8EAC2B608ADB}">
              <a16:predDERef xmlns:a16="http://schemas.microsoft.com/office/drawing/2014/main" pred="{77FD7135-3C30-4340-A2CD-50300F9A1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3381375" y="8658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69</xdr:row>
      <xdr:rowOff>19050</xdr:rowOff>
    </xdr:from>
    <xdr:to>
      <xdr:col>4</xdr:col>
      <xdr:colOff>1476375</xdr:colOff>
      <xdr:row>69</xdr:row>
      <xdr:rowOff>161925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81DA73B2-C784-4149-AF54-35F3E7EBC024}"/>
            </a:ext>
            <a:ext uri="{147F2762-F138-4A5C-976F-8EAC2B608ADB}">
              <a16:predDERef xmlns:a16="http://schemas.microsoft.com/office/drawing/2014/main" pred="{B8298630-2532-ECAB-1AE9-D392529F0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3390900" y="13230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20</xdr:row>
      <xdr:rowOff>19050</xdr:rowOff>
    </xdr:from>
    <xdr:to>
      <xdr:col>7</xdr:col>
      <xdr:colOff>219075</xdr:colOff>
      <xdr:row>20</xdr:row>
      <xdr:rowOff>161925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E70919BA-D6FE-4669-948B-442CB9B5351B}"/>
            </a:ext>
            <a:ext uri="{147F2762-F138-4A5C-976F-8EAC2B608ADB}">
              <a16:predDERef xmlns:a16="http://schemas.microsoft.com/office/drawing/2014/main" pred="{81DA73B2-C784-4149-AF54-35F3E7EBC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4210050" y="3895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21</xdr:row>
      <xdr:rowOff>19050</xdr:rowOff>
    </xdr:from>
    <xdr:to>
      <xdr:col>7</xdr:col>
      <xdr:colOff>219075</xdr:colOff>
      <xdr:row>21</xdr:row>
      <xdr:rowOff>171450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30FB3D2B-1857-4524-39E8-414D7241839F}"/>
            </a:ext>
            <a:ext uri="{147F2762-F138-4A5C-976F-8EAC2B608ADB}">
              <a16:predDERef xmlns:a16="http://schemas.microsoft.com/office/drawing/2014/main" pred="{E70919BA-D6FE-4669-948B-442CB9B53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4210050" y="4086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45</xdr:row>
      <xdr:rowOff>19050</xdr:rowOff>
    </xdr:from>
    <xdr:to>
      <xdr:col>7</xdr:col>
      <xdr:colOff>219075</xdr:colOff>
      <xdr:row>45</xdr:row>
      <xdr:rowOff>171450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B3E0B716-3F31-49AB-B0DF-A7A5D062DAFF}"/>
            </a:ext>
            <a:ext uri="{147F2762-F138-4A5C-976F-8EAC2B608ADB}">
              <a16:predDERef xmlns:a16="http://schemas.microsoft.com/office/drawing/2014/main" pred="{30FB3D2B-1857-4524-39E8-414D72418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4210050" y="8658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68</xdr:row>
      <xdr:rowOff>19050</xdr:rowOff>
    </xdr:from>
    <xdr:to>
      <xdr:col>4</xdr:col>
      <xdr:colOff>1476375</xdr:colOff>
      <xdr:row>68</xdr:row>
      <xdr:rowOff>171450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7BF3C833-4DBD-4384-8E02-297FBF928C0B}"/>
            </a:ext>
            <a:ext uri="{147F2762-F138-4A5C-976F-8EAC2B608ADB}">
              <a16:predDERef xmlns:a16="http://schemas.microsoft.com/office/drawing/2014/main" pred="{B3E0B716-3F31-49AB-B0DF-A7A5D062D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3390900" y="13039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22</xdr:row>
      <xdr:rowOff>19050</xdr:rowOff>
    </xdr:from>
    <xdr:to>
      <xdr:col>7</xdr:col>
      <xdr:colOff>219075</xdr:colOff>
      <xdr:row>22</xdr:row>
      <xdr:rowOff>161925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3145E025-B580-5C4D-0669-0156CE68637F}"/>
            </a:ext>
            <a:ext uri="{147F2762-F138-4A5C-976F-8EAC2B608ADB}">
              <a16:predDERef xmlns:a16="http://schemas.microsoft.com/office/drawing/2014/main" pred="{7BF3C833-4DBD-4384-8E02-297FBF928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4210050" y="4276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46</xdr:row>
      <xdr:rowOff>19050</xdr:rowOff>
    </xdr:from>
    <xdr:to>
      <xdr:col>7</xdr:col>
      <xdr:colOff>219075</xdr:colOff>
      <xdr:row>46</xdr:row>
      <xdr:rowOff>161925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F422FA4D-C1F2-45D0-8FF3-1CD9CC3E692C}"/>
            </a:ext>
            <a:ext uri="{147F2762-F138-4A5C-976F-8EAC2B608ADB}">
              <a16:predDERef xmlns:a16="http://schemas.microsoft.com/office/drawing/2014/main" pred="{3145E025-B580-5C4D-0669-0156CE686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4210050" y="8848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67</xdr:row>
      <xdr:rowOff>19050</xdr:rowOff>
    </xdr:from>
    <xdr:to>
      <xdr:col>4</xdr:col>
      <xdr:colOff>1476375</xdr:colOff>
      <xdr:row>67</xdr:row>
      <xdr:rowOff>161925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AA774F6A-C08D-4E8A-B9CA-102E1E878606}"/>
            </a:ext>
            <a:ext uri="{147F2762-F138-4A5C-976F-8EAC2B608ADB}">
              <a16:predDERef xmlns:a16="http://schemas.microsoft.com/office/drawing/2014/main" pred="{F422FA4D-C1F2-45D0-8FF3-1CD9CC3E6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3390900" y="1284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66</xdr:row>
      <xdr:rowOff>19050</xdr:rowOff>
    </xdr:from>
    <xdr:to>
      <xdr:col>4</xdr:col>
      <xdr:colOff>1476375</xdr:colOff>
      <xdr:row>66</xdr:row>
      <xdr:rowOff>171450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67C0255F-509C-57CF-A97D-D7B4864AF9B0}"/>
            </a:ext>
            <a:ext uri="{147F2762-F138-4A5C-976F-8EAC2B608ADB}">
              <a16:predDERef xmlns:a16="http://schemas.microsoft.com/office/drawing/2014/main" pred="{AA774F6A-C08D-4E8A-B9CA-102E1E878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3390900" y="12658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46</xdr:row>
      <xdr:rowOff>9525</xdr:rowOff>
    </xdr:from>
    <xdr:to>
      <xdr:col>4</xdr:col>
      <xdr:colOff>1476375</xdr:colOff>
      <xdr:row>46</xdr:row>
      <xdr:rowOff>161925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DDAF7E5B-4C05-4A74-9825-D0066FB7F2C9}"/>
            </a:ext>
            <a:ext uri="{147F2762-F138-4A5C-976F-8EAC2B608ADB}">
              <a16:predDERef xmlns:a16="http://schemas.microsoft.com/office/drawing/2014/main" pred="{67C0255F-509C-57CF-A97D-D7B4864AF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3390900" y="8839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23</xdr:row>
      <xdr:rowOff>19050</xdr:rowOff>
    </xdr:from>
    <xdr:to>
      <xdr:col>7</xdr:col>
      <xdr:colOff>219075</xdr:colOff>
      <xdr:row>23</xdr:row>
      <xdr:rowOff>171450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ABCFE893-7E10-4D50-8649-6191D4CF8087}"/>
            </a:ext>
            <a:ext uri="{147F2762-F138-4A5C-976F-8EAC2B608ADB}">
              <a16:predDERef xmlns:a16="http://schemas.microsoft.com/office/drawing/2014/main" pred="{DDAF7E5B-4C05-4A74-9825-D0066FB7F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4210050" y="4467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24</xdr:row>
      <xdr:rowOff>19050</xdr:rowOff>
    </xdr:from>
    <xdr:to>
      <xdr:col>7</xdr:col>
      <xdr:colOff>209550</xdr:colOff>
      <xdr:row>24</xdr:row>
      <xdr:rowOff>152400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58FC111B-CF3D-5593-695F-0456FF709E87}"/>
            </a:ext>
            <a:ext uri="{147F2762-F138-4A5C-976F-8EAC2B608ADB}">
              <a16:predDERef xmlns:a16="http://schemas.microsoft.com/office/drawing/2014/main" pred="{ABCFE893-7E10-4D50-8649-6191D4CF8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4210050" y="4657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49</xdr:row>
      <xdr:rowOff>19050</xdr:rowOff>
    </xdr:from>
    <xdr:to>
      <xdr:col>7</xdr:col>
      <xdr:colOff>209550</xdr:colOff>
      <xdr:row>49</xdr:row>
      <xdr:rowOff>152400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E7DE13C6-FF48-4A46-9940-7737996098C5}"/>
            </a:ext>
            <a:ext uri="{147F2762-F138-4A5C-976F-8EAC2B608ADB}">
              <a16:predDERef xmlns:a16="http://schemas.microsoft.com/office/drawing/2014/main" pred="{58FC111B-CF3D-5593-695F-0456FF709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4210050" y="94202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74</xdr:row>
      <xdr:rowOff>28575</xdr:rowOff>
    </xdr:from>
    <xdr:to>
      <xdr:col>4</xdr:col>
      <xdr:colOff>1466850</xdr:colOff>
      <xdr:row>74</xdr:row>
      <xdr:rowOff>161925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2139952F-33EC-4355-8BE7-B04B9260378A}"/>
            </a:ext>
            <a:ext uri="{147F2762-F138-4A5C-976F-8EAC2B608ADB}">
              <a16:predDERef xmlns:a16="http://schemas.microsoft.com/office/drawing/2014/main" pred="{E7DE13C6-FF48-4A46-9940-773799609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3390900" y="14192250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25</xdr:row>
      <xdr:rowOff>19050</xdr:rowOff>
    </xdr:from>
    <xdr:to>
      <xdr:col>4</xdr:col>
      <xdr:colOff>1466850</xdr:colOff>
      <xdr:row>25</xdr:row>
      <xdr:rowOff>161925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70C438E8-24F9-7767-C915-3978A26D5BA7}"/>
            </a:ext>
            <a:ext uri="{147F2762-F138-4A5C-976F-8EAC2B608ADB}">
              <a16:predDERef xmlns:a16="http://schemas.microsoft.com/office/drawing/2014/main" pred="{2139952F-33EC-4355-8BE7-B04B92603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3390900" y="4848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48</xdr:row>
      <xdr:rowOff>19050</xdr:rowOff>
    </xdr:from>
    <xdr:to>
      <xdr:col>7</xdr:col>
      <xdr:colOff>209550</xdr:colOff>
      <xdr:row>48</xdr:row>
      <xdr:rowOff>161925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935F9792-7EAA-40AD-AE13-7E60491755D6}"/>
            </a:ext>
            <a:ext uri="{147F2762-F138-4A5C-976F-8EAC2B608ADB}">
              <a16:predDERef xmlns:a16="http://schemas.microsoft.com/office/drawing/2014/main" pred="{70C438E8-24F9-7767-C915-3978A26D5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4210050" y="922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74</xdr:row>
      <xdr:rowOff>19050</xdr:rowOff>
    </xdr:from>
    <xdr:to>
      <xdr:col>7</xdr:col>
      <xdr:colOff>209550</xdr:colOff>
      <xdr:row>74</xdr:row>
      <xdr:rowOff>161925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F4CC0F33-1C5C-4DE7-B21C-F8C30F59532F}"/>
            </a:ext>
            <a:ext uri="{147F2762-F138-4A5C-976F-8EAC2B608ADB}">
              <a16:predDERef xmlns:a16="http://schemas.microsoft.com/office/drawing/2014/main" pred="{935F9792-7EAA-40AD-AE13-7E6049175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4210050" y="14182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25</xdr:row>
      <xdr:rowOff>9525</xdr:rowOff>
    </xdr:from>
    <xdr:to>
      <xdr:col>7</xdr:col>
      <xdr:colOff>219075</xdr:colOff>
      <xdr:row>25</xdr:row>
      <xdr:rowOff>161925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652CB5AB-A8A7-F9DF-276D-0D5BE7748231}"/>
            </a:ext>
            <a:ext uri="{147F2762-F138-4A5C-976F-8EAC2B608ADB}">
              <a16:predDERef xmlns:a16="http://schemas.microsoft.com/office/drawing/2014/main" pred="{F4CC0F33-1C5C-4DE7-B21C-F8C30F595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4210050" y="48387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75</xdr:row>
      <xdr:rowOff>19050</xdr:rowOff>
    </xdr:from>
    <xdr:to>
      <xdr:col>4</xdr:col>
      <xdr:colOff>1466850</xdr:colOff>
      <xdr:row>75</xdr:row>
      <xdr:rowOff>171450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EF2907EB-5792-494A-94FA-8D1ED0F5A786}"/>
            </a:ext>
            <a:ext uri="{147F2762-F138-4A5C-976F-8EAC2B608ADB}">
              <a16:predDERef xmlns:a16="http://schemas.microsoft.com/office/drawing/2014/main" pred="{652CB5AB-A8A7-F9DF-276D-0D5BE774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3381375" y="14373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49</xdr:row>
      <xdr:rowOff>19050</xdr:rowOff>
    </xdr:from>
    <xdr:to>
      <xdr:col>4</xdr:col>
      <xdr:colOff>1466850</xdr:colOff>
      <xdr:row>49</xdr:row>
      <xdr:rowOff>171450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88D0F5DC-F4AC-44F1-B04D-9396174C4E0D}"/>
            </a:ext>
            <a:ext uri="{147F2762-F138-4A5C-976F-8EAC2B608ADB}">
              <a16:predDERef xmlns:a16="http://schemas.microsoft.com/office/drawing/2014/main" pred="{EF2907EB-5792-494A-94FA-8D1ED0F5A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3381375" y="9420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26</xdr:row>
      <xdr:rowOff>9525</xdr:rowOff>
    </xdr:from>
    <xdr:to>
      <xdr:col>7</xdr:col>
      <xdr:colOff>209550</xdr:colOff>
      <xdr:row>26</xdr:row>
      <xdr:rowOff>152400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CC2BA196-9E41-3B8D-76C8-CBAE66B8CF10}"/>
            </a:ext>
            <a:ext uri="{147F2762-F138-4A5C-976F-8EAC2B608ADB}">
              <a16:predDERef xmlns:a16="http://schemas.microsoft.com/office/drawing/2014/main" pred="{88D0F5DC-F4AC-44F1-B04D-9396174C4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4210050" y="5029200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51</xdr:row>
      <xdr:rowOff>19050</xdr:rowOff>
    </xdr:from>
    <xdr:to>
      <xdr:col>4</xdr:col>
      <xdr:colOff>1466850</xdr:colOff>
      <xdr:row>51</xdr:row>
      <xdr:rowOff>161925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D92FE3C3-C952-4938-9336-AB35291EA1FF}"/>
            </a:ext>
            <a:ext uri="{147F2762-F138-4A5C-976F-8EAC2B608ADB}">
              <a16:predDERef xmlns:a16="http://schemas.microsoft.com/office/drawing/2014/main" pred="{CC2BA196-9E41-3B8D-76C8-CBAE66B8C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3390900" y="9801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72</xdr:row>
      <xdr:rowOff>19050</xdr:rowOff>
    </xdr:from>
    <xdr:to>
      <xdr:col>4</xdr:col>
      <xdr:colOff>1466850</xdr:colOff>
      <xdr:row>72</xdr:row>
      <xdr:rowOff>161925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78F1F27C-38CD-4B4B-91C1-2C270068EDF0}"/>
            </a:ext>
            <a:ext uri="{147F2762-F138-4A5C-976F-8EAC2B608ADB}">
              <a16:predDERef xmlns:a16="http://schemas.microsoft.com/office/drawing/2014/main" pred="{D92FE3C3-C952-4938-9336-AB35291EA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3390900" y="13801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26</xdr:row>
      <xdr:rowOff>19050</xdr:rowOff>
    </xdr:from>
    <xdr:to>
      <xdr:col>4</xdr:col>
      <xdr:colOff>1476375</xdr:colOff>
      <xdr:row>26</xdr:row>
      <xdr:rowOff>171450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AD3B7227-2DB1-FDC9-1F40-DEC7BD7DE41E}"/>
            </a:ext>
            <a:ext uri="{147F2762-F138-4A5C-976F-8EAC2B608ADB}">
              <a16:predDERef xmlns:a16="http://schemas.microsoft.com/office/drawing/2014/main" pred="{78F1F27C-38CD-4B4B-91C1-2C270068E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3381375" y="5038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50</xdr:row>
      <xdr:rowOff>19050</xdr:rowOff>
    </xdr:from>
    <xdr:to>
      <xdr:col>7</xdr:col>
      <xdr:colOff>228600</xdr:colOff>
      <xdr:row>50</xdr:row>
      <xdr:rowOff>171450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6E7558E1-CF67-4B72-9E7D-25A3E79F51DC}"/>
            </a:ext>
            <a:ext uri="{147F2762-F138-4A5C-976F-8EAC2B608ADB}">
              <a16:predDERef xmlns:a16="http://schemas.microsoft.com/office/drawing/2014/main" pred="{AD3B7227-2DB1-FDC9-1F40-DEC7BD7DE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4210050" y="9610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73</xdr:row>
      <xdr:rowOff>19050</xdr:rowOff>
    </xdr:from>
    <xdr:to>
      <xdr:col>7</xdr:col>
      <xdr:colOff>228600</xdr:colOff>
      <xdr:row>73</xdr:row>
      <xdr:rowOff>171450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CBA7BA57-6D9A-440B-8719-5C4B1E9FCDD8}"/>
            </a:ext>
            <a:ext uri="{147F2762-F138-4A5C-976F-8EAC2B608ADB}">
              <a16:predDERef xmlns:a16="http://schemas.microsoft.com/office/drawing/2014/main" pred="{6E7558E1-CF67-4B72-9E7D-25A3E79F5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4210050" y="13992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28</xdr:row>
      <xdr:rowOff>19050</xdr:rowOff>
    </xdr:from>
    <xdr:to>
      <xdr:col>7</xdr:col>
      <xdr:colOff>209550</xdr:colOff>
      <xdr:row>28</xdr:row>
      <xdr:rowOff>161925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F0ACA1BB-2892-8D8F-16BC-AAA469005846}"/>
            </a:ext>
            <a:ext uri="{147F2762-F138-4A5C-976F-8EAC2B608ADB}">
              <a16:predDERef xmlns:a16="http://schemas.microsoft.com/office/drawing/2014/main" pred="{CBA7BA57-6D9A-440B-8719-5C4B1E9FC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4210050" y="541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53</xdr:row>
      <xdr:rowOff>19050</xdr:rowOff>
    </xdr:from>
    <xdr:to>
      <xdr:col>7</xdr:col>
      <xdr:colOff>209550</xdr:colOff>
      <xdr:row>53</xdr:row>
      <xdr:rowOff>161925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A66CD503-F508-4880-B9CB-2407BC8B2FC0}"/>
            </a:ext>
            <a:ext uri="{147F2762-F138-4A5C-976F-8EAC2B608ADB}">
              <a16:predDERef xmlns:a16="http://schemas.microsoft.com/office/drawing/2014/main" pred="{F0ACA1BB-2892-8D8F-16BC-AAA469005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4210050" y="10182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77</xdr:row>
      <xdr:rowOff>19050</xdr:rowOff>
    </xdr:from>
    <xdr:to>
      <xdr:col>4</xdr:col>
      <xdr:colOff>1466850</xdr:colOff>
      <xdr:row>77</xdr:row>
      <xdr:rowOff>161925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96100DE2-9C01-42BF-A75E-FA6C48C4CB00}"/>
            </a:ext>
            <a:ext uri="{147F2762-F138-4A5C-976F-8EAC2B608ADB}">
              <a16:predDERef xmlns:a16="http://schemas.microsoft.com/office/drawing/2014/main" pred="{A66CD503-F508-4880-B9CB-2407BC8B2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3390900" y="1475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29</xdr:row>
      <xdr:rowOff>19050</xdr:rowOff>
    </xdr:from>
    <xdr:to>
      <xdr:col>7</xdr:col>
      <xdr:colOff>228600</xdr:colOff>
      <xdr:row>29</xdr:row>
      <xdr:rowOff>171450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BAADC898-EF39-F06B-280A-55C896BC6499}"/>
            </a:ext>
            <a:ext uri="{147F2762-F138-4A5C-976F-8EAC2B608ADB}">
              <a16:predDERef xmlns:a16="http://schemas.microsoft.com/office/drawing/2014/main" pred="{96100DE2-9C01-42BF-A75E-FA6C48C4C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4210050" y="5610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76</xdr:row>
      <xdr:rowOff>19050</xdr:rowOff>
    </xdr:from>
    <xdr:to>
      <xdr:col>4</xdr:col>
      <xdr:colOff>1466850</xdr:colOff>
      <xdr:row>76</xdr:row>
      <xdr:rowOff>171450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06725317-788A-40D9-9A96-55B138349EED}"/>
            </a:ext>
            <a:ext uri="{147F2762-F138-4A5C-976F-8EAC2B608ADB}">
              <a16:predDERef xmlns:a16="http://schemas.microsoft.com/office/drawing/2014/main" pred="{BAADC898-EF39-F06B-280A-55C896BC6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3371850" y="14563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53</xdr:row>
      <xdr:rowOff>19050</xdr:rowOff>
    </xdr:from>
    <xdr:to>
      <xdr:col>4</xdr:col>
      <xdr:colOff>1466850</xdr:colOff>
      <xdr:row>53</xdr:row>
      <xdr:rowOff>171450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E5BCB6FE-DF8E-4E1C-A89E-02718ED35B2F}"/>
            </a:ext>
            <a:ext uri="{147F2762-F138-4A5C-976F-8EAC2B608ADB}">
              <a16:predDERef xmlns:a16="http://schemas.microsoft.com/office/drawing/2014/main" pred="{06725317-788A-40D9-9A96-55B138349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3371850" y="10182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29</xdr:row>
      <xdr:rowOff>19050</xdr:rowOff>
    </xdr:from>
    <xdr:to>
      <xdr:col>4</xdr:col>
      <xdr:colOff>1476375</xdr:colOff>
      <xdr:row>29</xdr:row>
      <xdr:rowOff>171450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A91A538F-459A-2E5C-F58D-BFE81A3AD270}"/>
            </a:ext>
            <a:ext uri="{147F2762-F138-4A5C-976F-8EAC2B608ADB}">
              <a16:predDERef xmlns:a16="http://schemas.microsoft.com/office/drawing/2014/main" pred="{E5BCB6FE-DF8E-4E1C-A89E-02718ED35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3390900" y="5610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52</xdr:row>
      <xdr:rowOff>19050</xdr:rowOff>
    </xdr:from>
    <xdr:to>
      <xdr:col>7</xdr:col>
      <xdr:colOff>219075</xdr:colOff>
      <xdr:row>52</xdr:row>
      <xdr:rowOff>171450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87CB918A-C8E8-4384-9086-8D45C8599E43}"/>
            </a:ext>
            <a:ext uri="{147F2762-F138-4A5C-976F-8EAC2B608ADB}">
              <a16:predDERef xmlns:a16="http://schemas.microsoft.com/office/drawing/2014/main" pred="{A91A538F-459A-2E5C-F58D-BFE81A3AD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4210050" y="9991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77</xdr:row>
      <xdr:rowOff>19050</xdr:rowOff>
    </xdr:from>
    <xdr:to>
      <xdr:col>7</xdr:col>
      <xdr:colOff>219075</xdr:colOff>
      <xdr:row>77</xdr:row>
      <xdr:rowOff>171450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9CEE2CED-EED2-41A6-AEB6-5520EAB59514}"/>
            </a:ext>
            <a:ext uri="{147F2762-F138-4A5C-976F-8EAC2B608ADB}">
              <a16:predDERef xmlns:a16="http://schemas.microsoft.com/office/drawing/2014/main" pred="{87CB918A-C8E8-4384-9086-8D45C8599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4210050" y="14754225"/>
          <a:ext cx="200025" cy="152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wallchart.io/football/world-cup-2026.html" TargetMode="External"/><Relationship Id="rId2" Type="http://schemas.openxmlformats.org/officeDocument/2006/relationships/hyperlink" Target="http://www.excely.com/football/2026-fifa-world-cup-schedule.html" TargetMode="External"/><Relationship Id="rId1" Type="http://schemas.openxmlformats.org/officeDocument/2006/relationships/hyperlink" Target="http://www.excely.com/ice-hockey/world-cup-2009-schedule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5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defaultColWidth="14" defaultRowHeight="15" x14ac:dyDescent="0.25"/>
  <cols>
    <col min="1" max="1" width="24.140625" bestFit="1" customWidth="1"/>
    <col min="2" max="42" width="14" customWidth="1"/>
  </cols>
  <sheetData>
    <row r="1" spans="1:4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</row>
    <row r="2" spans="1:42" x14ac:dyDescent="0.25">
      <c r="A2" t="s">
        <v>42</v>
      </c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  <c r="J2" t="s">
        <v>51</v>
      </c>
      <c r="K2" t="s">
        <v>52</v>
      </c>
      <c r="L2" t="s">
        <v>53</v>
      </c>
      <c r="M2" t="s">
        <v>54</v>
      </c>
      <c r="N2" t="s">
        <v>55</v>
      </c>
      <c r="O2" t="s">
        <v>56</v>
      </c>
      <c r="P2" t="s">
        <v>57</v>
      </c>
      <c r="Q2" t="s">
        <v>58</v>
      </c>
      <c r="R2" t="s">
        <v>59</v>
      </c>
      <c r="S2" t="s">
        <v>60</v>
      </c>
      <c r="T2" t="s">
        <v>61</v>
      </c>
      <c r="U2" t="s">
        <v>62</v>
      </c>
      <c r="V2" t="s">
        <v>63</v>
      </c>
      <c r="W2" t="s">
        <v>64</v>
      </c>
      <c r="X2" t="s">
        <v>65</v>
      </c>
      <c r="Y2" t="s">
        <v>66</v>
      </c>
      <c r="Z2" t="s">
        <v>67</v>
      </c>
      <c r="AA2" t="s">
        <v>68</v>
      </c>
      <c r="AB2" t="s">
        <v>69</v>
      </c>
      <c r="AC2" t="s">
        <v>70</v>
      </c>
      <c r="AD2" t="s">
        <v>71</v>
      </c>
      <c r="AE2" t="s">
        <v>72</v>
      </c>
      <c r="AF2" t="s">
        <v>73</v>
      </c>
      <c r="AG2" t="s">
        <v>74</v>
      </c>
      <c r="AH2" t="s">
        <v>75</v>
      </c>
      <c r="AI2" t="s">
        <v>76</v>
      </c>
      <c r="AJ2" t="s">
        <v>77</v>
      </c>
      <c r="AK2" t="s">
        <v>78</v>
      </c>
      <c r="AL2" t="s">
        <v>79</v>
      </c>
      <c r="AM2" t="s">
        <v>80</v>
      </c>
      <c r="AN2" t="s">
        <v>81</v>
      </c>
      <c r="AO2" s="1" t="s">
        <v>82</v>
      </c>
      <c r="AP2" t="s">
        <v>83</v>
      </c>
    </row>
    <row r="3" spans="1:42" x14ac:dyDescent="0.25">
      <c r="A3" t="s">
        <v>84</v>
      </c>
      <c r="B3" t="s">
        <v>85</v>
      </c>
      <c r="C3" t="s">
        <v>86</v>
      </c>
      <c r="D3" t="s">
        <v>87</v>
      </c>
      <c r="E3" t="s">
        <v>88</v>
      </c>
      <c r="F3" t="s">
        <v>89</v>
      </c>
      <c r="G3" t="s">
        <v>90</v>
      </c>
      <c r="H3" t="s">
        <v>91</v>
      </c>
      <c r="I3" t="s">
        <v>92</v>
      </c>
      <c r="J3" t="s">
        <v>93</v>
      </c>
      <c r="K3" t="s">
        <v>94</v>
      </c>
      <c r="L3" t="s">
        <v>95</v>
      </c>
      <c r="M3" t="s">
        <v>96</v>
      </c>
      <c r="N3" t="s">
        <v>97</v>
      </c>
      <c r="O3" t="s">
        <v>98</v>
      </c>
      <c r="P3" t="s">
        <v>99</v>
      </c>
      <c r="Q3" t="s">
        <v>100</v>
      </c>
      <c r="R3" t="s">
        <v>101</v>
      </c>
      <c r="S3" t="s">
        <v>102</v>
      </c>
      <c r="T3" t="s">
        <v>103</v>
      </c>
      <c r="U3" t="s">
        <v>104</v>
      </c>
      <c r="V3" t="s">
        <v>105</v>
      </c>
      <c r="W3" t="s">
        <v>106</v>
      </c>
      <c r="X3" t="s">
        <v>107</v>
      </c>
      <c r="Y3" t="s">
        <v>108</v>
      </c>
      <c r="Z3" t="s">
        <v>109</v>
      </c>
      <c r="AA3" t="s">
        <v>110</v>
      </c>
      <c r="AB3" t="s">
        <v>111</v>
      </c>
      <c r="AC3" t="s">
        <v>112</v>
      </c>
      <c r="AD3" t="s">
        <v>113</v>
      </c>
      <c r="AE3" t="s">
        <v>114</v>
      </c>
      <c r="AF3" t="s">
        <v>115</v>
      </c>
      <c r="AG3" t="s">
        <v>116</v>
      </c>
      <c r="AH3" t="s">
        <v>117</v>
      </c>
      <c r="AI3" t="s">
        <v>118</v>
      </c>
      <c r="AJ3" t="s">
        <v>114</v>
      </c>
      <c r="AK3" t="s">
        <v>119</v>
      </c>
      <c r="AL3" t="s">
        <v>120</v>
      </c>
      <c r="AM3" t="s">
        <v>121</v>
      </c>
      <c r="AN3" t="s">
        <v>122</v>
      </c>
      <c r="AO3" t="s">
        <v>123</v>
      </c>
      <c r="AP3" t="s">
        <v>124</v>
      </c>
    </row>
    <row r="4" spans="1:42" x14ac:dyDescent="0.25">
      <c r="A4" t="s">
        <v>125</v>
      </c>
      <c r="B4" t="s">
        <v>126</v>
      </c>
      <c r="C4" t="s">
        <v>127</v>
      </c>
      <c r="D4" t="s">
        <v>128</v>
      </c>
      <c r="E4" t="s">
        <v>129</v>
      </c>
      <c r="F4" t="s">
        <v>130</v>
      </c>
      <c r="G4" t="s">
        <v>131</v>
      </c>
      <c r="H4" t="s">
        <v>132</v>
      </c>
      <c r="I4" t="s">
        <v>133</v>
      </c>
      <c r="J4" t="s">
        <v>134</v>
      </c>
      <c r="K4" t="s">
        <v>135</v>
      </c>
      <c r="L4" t="s">
        <v>136</v>
      </c>
      <c r="M4" t="s">
        <v>137</v>
      </c>
      <c r="N4" t="s">
        <v>138</v>
      </c>
      <c r="O4" t="s">
        <v>139</v>
      </c>
      <c r="P4" t="s">
        <v>140</v>
      </c>
      <c r="Q4" t="s">
        <v>141</v>
      </c>
      <c r="R4" t="s">
        <v>142</v>
      </c>
      <c r="S4" t="s">
        <v>143</v>
      </c>
      <c r="T4" t="s">
        <v>144</v>
      </c>
      <c r="U4" t="s">
        <v>145</v>
      </c>
      <c r="V4" t="s">
        <v>146</v>
      </c>
      <c r="W4" t="s">
        <v>147</v>
      </c>
      <c r="X4" t="s">
        <v>148</v>
      </c>
      <c r="Y4" t="s">
        <v>149</v>
      </c>
      <c r="Z4" t="s">
        <v>150</v>
      </c>
      <c r="AA4" t="s">
        <v>151</v>
      </c>
      <c r="AB4" t="s">
        <v>152</v>
      </c>
      <c r="AC4" t="s">
        <v>153</v>
      </c>
      <c r="AD4" t="s">
        <v>154</v>
      </c>
      <c r="AE4" t="s">
        <v>155</v>
      </c>
      <c r="AF4" t="s">
        <v>156</v>
      </c>
      <c r="AG4" t="s">
        <v>157</v>
      </c>
      <c r="AH4" t="s">
        <v>158</v>
      </c>
      <c r="AI4" t="s">
        <v>159</v>
      </c>
      <c r="AJ4" t="s">
        <v>160</v>
      </c>
      <c r="AK4" t="s">
        <v>161</v>
      </c>
      <c r="AL4" t="s">
        <v>162</v>
      </c>
      <c r="AM4" t="s">
        <v>163</v>
      </c>
      <c r="AN4" t="s">
        <v>164</v>
      </c>
      <c r="AO4" t="s">
        <v>165</v>
      </c>
      <c r="AP4" t="s">
        <v>166</v>
      </c>
    </row>
    <row r="5" spans="1:42" x14ac:dyDescent="0.25">
      <c r="A5" t="s">
        <v>167</v>
      </c>
      <c r="B5" t="s">
        <v>168</v>
      </c>
      <c r="C5" t="s">
        <v>169</v>
      </c>
      <c r="D5" t="s">
        <v>170</v>
      </c>
      <c r="E5" t="s">
        <v>171</v>
      </c>
      <c r="F5" t="s">
        <v>172</v>
      </c>
      <c r="G5" t="s">
        <v>173</v>
      </c>
      <c r="H5" t="s">
        <v>174</v>
      </c>
      <c r="I5" t="s">
        <v>175</v>
      </c>
      <c r="J5" t="s">
        <v>176</v>
      </c>
      <c r="K5" t="s">
        <v>177</v>
      </c>
      <c r="L5" t="s">
        <v>178</v>
      </c>
      <c r="M5" t="s">
        <v>179</v>
      </c>
      <c r="N5" t="s">
        <v>180</v>
      </c>
      <c r="O5" t="s">
        <v>181</v>
      </c>
      <c r="P5" t="s">
        <v>182</v>
      </c>
      <c r="Q5" t="s">
        <v>183</v>
      </c>
      <c r="R5" t="s">
        <v>184</v>
      </c>
      <c r="S5" t="s">
        <v>185</v>
      </c>
      <c r="T5" t="s">
        <v>186</v>
      </c>
      <c r="U5" t="s">
        <v>187</v>
      </c>
      <c r="V5" t="s">
        <v>188</v>
      </c>
      <c r="W5" t="s">
        <v>189</v>
      </c>
      <c r="X5" t="s">
        <v>190</v>
      </c>
      <c r="Y5" t="s">
        <v>191</v>
      </c>
      <c r="Z5" t="s">
        <v>192</v>
      </c>
      <c r="AA5" t="s">
        <v>193</v>
      </c>
      <c r="AB5" t="s">
        <v>178</v>
      </c>
      <c r="AC5" t="s">
        <v>194</v>
      </c>
      <c r="AD5" t="s">
        <v>195</v>
      </c>
      <c r="AE5" t="s">
        <v>196</v>
      </c>
      <c r="AF5" t="s">
        <v>197</v>
      </c>
      <c r="AG5" t="s">
        <v>176</v>
      </c>
      <c r="AH5" t="s">
        <v>198</v>
      </c>
      <c r="AI5" t="s">
        <v>199</v>
      </c>
      <c r="AJ5" t="s">
        <v>200</v>
      </c>
      <c r="AK5" t="s">
        <v>201</v>
      </c>
      <c r="AL5" t="s">
        <v>202</v>
      </c>
      <c r="AM5" t="s">
        <v>203</v>
      </c>
      <c r="AN5" t="s">
        <v>204</v>
      </c>
      <c r="AO5" t="s">
        <v>205</v>
      </c>
      <c r="AP5" t="s">
        <v>206</v>
      </c>
    </row>
    <row r="6" spans="1:42" x14ac:dyDescent="0.25">
      <c r="A6" t="s">
        <v>207</v>
      </c>
      <c r="B6" t="s">
        <v>208</v>
      </c>
      <c r="C6" t="s">
        <v>209</v>
      </c>
      <c r="D6" t="s">
        <v>210</v>
      </c>
      <c r="E6" t="s">
        <v>211</v>
      </c>
      <c r="F6" t="s">
        <v>212</v>
      </c>
      <c r="G6" t="s">
        <v>213</v>
      </c>
      <c r="H6" t="s">
        <v>214</v>
      </c>
      <c r="I6" t="s">
        <v>215</v>
      </c>
      <c r="J6" t="s">
        <v>216</v>
      </c>
      <c r="K6" t="s">
        <v>217</v>
      </c>
      <c r="L6" t="s">
        <v>218</v>
      </c>
      <c r="M6" t="s">
        <v>219</v>
      </c>
      <c r="N6" t="s">
        <v>220</v>
      </c>
      <c r="O6" t="s">
        <v>221</v>
      </c>
      <c r="P6" t="s">
        <v>222</v>
      </c>
      <c r="Q6" t="s">
        <v>223</v>
      </c>
      <c r="R6" t="s">
        <v>224</v>
      </c>
      <c r="S6" t="s">
        <v>225</v>
      </c>
      <c r="T6" t="s">
        <v>226</v>
      </c>
      <c r="U6" t="s">
        <v>227</v>
      </c>
      <c r="V6" t="s">
        <v>228</v>
      </c>
      <c r="W6" t="s">
        <v>229</v>
      </c>
      <c r="X6" t="s">
        <v>230</v>
      </c>
      <c r="Y6" t="s">
        <v>231</v>
      </c>
      <c r="Z6" t="s">
        <v>232</v>
      </c>
      <c r="AA6" t="s">
        <v>233</v>
      </c>
      <c r="AB6" t="s">
        <v>218</v>
      </c>
      <c r="AC6" t="s">
        <v>234</v>
      </c>
      <c r="AD6" t="s">
        <v>235</v>
      </c>
      <c r="AE6" t="s">
        <v>236</v>
      </c>
      <c r="AF6" t="s">
        <v>218</v>
      </c>
      <c r="AG6" t="s">
        <v>216</v>
      </c>
      <c r="AH6" t="s">
        <v>217</v>
      </c>
      <c r="AI6" t="s">
        <v>237</v>
      </c>
      <c r="AJ6" t="s">
        <v>238</v>
      </c>
      <c r="AK6" t="s">
        <v>239</v>
      </c>
      <c r="AL6" t="s">
        <v>240</v>
      </c>
      <c r="AM6" t="s">
        <v>241</v>
      </c>
      <c r="AN6" t="s">
        <v>242</v>
      </c>
      <c r="AO6" t="s">
        <v>243</v>
      </c>
      <c r="AP6" t="s">
        <v>244</v>
      </c>
    </row>
    <row r="7" spans="1:42" x14ac:dyDescent="0.25">
      <c r="A7" t="s">
        <v>245</v>
      </c>
      <c r="B7" t="s">
        <v>246</v>
      </c>
      <c r="C7" t="s">
        <v>247</v>
      </c>
      <c r="D7" t="s">
        <v>248</v>
      </c>
      <c r="E7" t="s">
        <v>249</v>
      </c>
      <c r="F7" t="s">
        <v>250</v>
      </c>
      <c r="G7" t="s">
        <v>251</v>
      </c>
      <c r="H7" t="s">
        <v>252</v>
      </c>
      <c r="I7" t="s">
        <v>253</v>
      </c>
      <c r="J7" t="s">
        <v>254</v>
      </c>
      <c r="K7" t="s">
        <v>255</v>
      </c>
      <c r="L7" t="s">
        <v>256</v>
      </c>
      <c r="M7" t="s">
        <v>257</v>
      </c>
      <c r="N7" t="s">
        <v>258</v>
      </c>
      <c r="O7" t="s">
        <v>259</v>
      </c>
      <c r="P7" t="s">
        <v>260</v>
      </c>
      <c r="Q7" t="s">
        <v>261</v>
      </c>
      <c r="R7" t="s">
        <v>262</v>
      </c>
      <c r="S7" t="s">
        <v>263</v>
      </c>
      <c r="T7" t="s">
        <v>264</v>
      </c>
      <c r="U7" t="s">
        <v>265</v>
      </c>
      <c r="V7" t="s">
        <v>266</v>
      </c>
      <c r="W7" t="s">
        <v>267</v>
      </c>
      <c r="X7" t="s">
        <v>268</v>
      </c>
      <c r="Y7" t="s">
        <v>269</v>
      </c>
      <c r="Z7" t="s">
        <v>270</v>
      </c>
      <c r="AA7" t="s">
        <v>271</v>
      </c>
      <c r="AB7" t="s">
        <v>272</v>
      </c>
      <c r="AC7" t="s">
        <v>273</v>
      </c>
      <c r="AD7" t="s">
        <v>274</v>
      </c>
      <c r="AE7" t="s">
        <v>275</v>
      </c>
      <c r="AF7" t="s">
        <v>276</v>
      </c>
      <c r="AG7" t="s">
        <v>254</v>
      </c>
      <c r="AH7" t="s">
        <v>277</v>
      </c>
      <c r="AI7" t="s">
        <v>278</v>
      </c>
      <c r="AJ7" t="s">
        <v>279</v>
      </c>
      <c r="AK7" t="s">
        <v>280</v>
      </c>
      <c r="AL7" t="s">
        <v>281</v>
      </c>
      <c r="AM7" t="s">
        <v>282</v>
      </c>
      <c r="AN7" t="s">
        <v>283</v>
      </c>
      <c r="AO7" t="s">
        <v>284</v>
      </c>
      <c r="AP7" t="s">
        <v>285</v>
      </c>
    </row>
    <row r="8" spans="1:42" x14ac:dyDescent="0.25">
      <c r="A8" t="s">
        <v>286</v>
      </c>
      <c r="B8" t="s">
        <v>287</v>
      </c>
      <c r="C8" t="s">
        <v>288</v>
      </c>
      <c r="D8" t="s">
        <v>289</v>
      </c>
      <c r="E8" t="s">
        <v>286</v>
      </c>
      <c r="F8" t="s">
        <v>290</v>
      </c>
      <c r="G8" t="s">
        <v>286</v>
      </c>
      <c r="H8" t="s">
        <v>291</v>
      </c>
      <c r="I8" t="s">
        <v>292</v>
      </c>
      <c r="J8" t="s">
        <v>293</v>
      </c>
      <c r="K8" t="s">
        <v>294</v>
      </c>
      <c r="L8" t="s">
        <v>293</v>
      </c>
      <c r="M8" t="s">
        <v>293</v>
      </c>
      <c r="N8" t="s">
        <v>295</v>
      </c>
      <c r="O8" t="s">
        <v>293</v>
      </c>
      <c r="P8" t="s">
        <v>296</v>
      </c>
      <c r="Q8" t="s">
        <v>293</v>
      </c>
      <c r="R8" t="s">
        <v>297</v>
      </c>
      <c r="S8" t="s">
        <v>298</v>
      </c>
      <c r="T8" t="s">
        <v>299</v>
      </c>
      <c r="U8" t="s">
        <v>286</v>
      </c>
      <c r="V8" t="s">
        <v>300</v>
      </c>
      <c r="W8" t="s">
        <v>293</v>
      </c>
      <c r="X8" t="s">
        <v>301</v>
      </c>
      <c r="Y8" t="s">
        <v>302</v>
      </c>
      <c r="Z8" t="s">
        <v>303</v>
      </c>
      <c r="AA8" t="s">
        <v>304</v>
      </c>
      <c r="AB8" t="s">
        <v>293</v>
      </c>
      <c r="AC8" t="s">
        <v>305</v>
      </c>
      <c r="AD8" t="s">
        <v>306</v>
      </c>
      <c r="AE8" t="s">
        <v>286</v>
      </c>
      <c r="AF8" t="s">
        <v>307</v>
      </c>
      <c r="AG8" t="s">
        <v>293</v>
      </c>
      <c r="AH8" t="s">
        <v>294</v>
      </c>
      <c r="AI8" t="s">
        <v>293</v>
      </c>
      <c r="AJ8" t="s">
        <v>286</v>
      </c>
      <c r="AK8" t="s">
        <v>286</v>
      </c>
      <c r="AL8" t="s">
        <v>308</v>
      </c>
      <c r="AM8" t="s">
        <v>286</v>
      </c>
      <c r="AN8" t="s">
        <v>309</v>
      </c>
      <c r="AO8" t="s">
        <v>310</v>
      </c>
      <c r="AP8" t="s">
        <v>311</v>
      </c>
    </row>
    <row r="9" spans="1:42" x14ac:dyDescent="0.25">
      <c r="A9" t="s">
        <v>312</v>
      </c>
      <c r="B9" t="s">
        <v>313</v>
      </c>
      <c r="C9" t="s">
        <v>314</v>
      </c>
      <c r="D9" t="s">
        <v>315</v>
      </c>
      <c r="E9" t="s">
        <v>316</v>
      </c>
      <c r="F9" t="s">
        <v>317</v>
      </c>
      <c r="G9" t="s">
        <v>318</v>
      </c>
      <c r="H9" t="s">
        <v>319</v>
      </c>
      <c r="I9" t="s">
        <v>320</v>
      </c>
      <c r="J9" t="s">
        <v>321</v>
      </c>
      <c r="K9" t="s">
        <v>322</v>
      </c>
      <c r="L9" t="s">
        <v>323</v>
      </c>
      <c r="M9" t="s">
        <v>324</v>
      </c>
      <c r="N9" t="s">
        <v>325</v>
      </c>
      <c r="O9" t="s">
        <v>326</v>
      </c>
      <c r="P9" t="s">
        <v>327</v>
      </c>
      <c r="Q9" t="s">
        <v>323</v>
      </c>
      <c r="R9" t="s">
        <v>328</v>
      </c>
      <c r="S9" t="s">
        <v>329</v>
      </c>
      <c r="T9" t="s">
        <v>330</v>
      </c>
      <c r="U9" t="s">
        <v>331</v>
      </c>
      <c r="V9" t="s">
        <v>332</v>
      </c>
      <c r="W9" t="s">
        <v>333</v>
      </c>
      <c r="X9" t="s">
        <v>334</v>
      </c>
      <c r="Y9" t="s">
        <v>335</v>
      </c>
      <c r="Z9" t="s">
        <v>317</v>
      </c>
      <c r="AA9" t="s">
        <v>336</v>
      </c>
      <c r="AB9" t="s">
        <v>323</v>
      </c>
      <c r="AC9" t="s">
        <v>337</v>
      </c>
      <c r="AD9" t="s">
        <v>321</v>
      </c>
      <c r="AE9" t="s">
        <v>338</v>
      </c>
      <c r="AF9" t="s">
        <v>321</v>
      </c>
      <c r="AG9" t="s">
        <v>321</v>
      </c>
      <c r="AH9" t="s">
        <v>322</v>
      </c>
      <c r="AI9" t="s">
        <v>322</v>
      </c>
      <c r="AJ9" t="s">
        <v>338</v>
      </c>
      <c r="AK9" t="s">
        <v>336</v>
      </c>
      <c r="AL9" t="s">
        <v>339</v>
      </c>
      <c r="AM9" t="s">
        <v>318</v>
      </c>
      <c r="AN9" t="s">
        <v>340</v>
      </c>
      <c r="AO9" t="s">
        <v>317</v>
      </c>
      <c r="AP9" t="s">
        <v>124</v>
      </c>
    </row>
    <row r="10" spans="1:42" x14ac:dyDescent="0.25">
      <c r="A10" t="s">
        <v>341</v>
      </c>
      <c r="B10" t="s">
        <v>342</v>
      </c>
      <c r="C10" t="s">
        <v>343</v>
      </c>
      <c r="D10" t="s">
        <v>344</v>
      </c>
      <c r="E10" t="s">
        <v>345</v>
      </c>
      <c r="F10" t="s">
        <v>346</v>
      </c>
      <c r="G10" t="s">
        <v>347</v>
      </c>
      <c r="H10" t="s">
        <v>348</v>
      </c>
      <c r="I10" t="s">
        <v>349</v>
      </c>
      <c r="J10" t="s">
        <v>341</v>
      </c>
      <c r="K10" t="s">
        <v>350</v>
      </c>
      <c r="L10" t="s">
        <v>351</v>
      </c>
      <c r="M10" t="s">
        <v>352</v>
      </c>
      <c r="N10" t="s">
        <v>351</v>
      </c>
      <c r="O10" t="s">
        <v>347</v>
      </c>
      <c r="P10" t="s">
        <v>353</v>
      </c>
      <c r="Q10" t="s">
        <v>351</v>
      </c>
      <c r="R10" t="s">
        <v>354</v>
      </c>
      <c r="S10" t="s">
        <v>355</v>
      </c>
      <c r="T10" t="s">
        <v>356</v>
      </c>
      <c r="U10" t="s">
        <v>357</v>
      </c>
      <c r="V10" t="s">
        <v>342</v>
      </c>
      <c r="W10" t="s">
        <v>358</v>
      </c>
      <c r="X10" t="s">
        <v>359</v>
      </c>
      <c r="Y10" t="s">
        <v>360</v>
      </c>
      <c r="Z10" t="s">
        <v>361</v>
      </c>
      <c r="AA10" t="s">
        <v>342</v>
      </c>
      <c r="AB10" t="s">
        <v>362</v>
      </c>
      <c r="AC10" t="s">
        <v>363</v>
      </c>
      <c r="AD10" t="s">
        <v>356</v>
      </c>
      <c r="AE10" t="s">
        <v>347</v>
      </c>
      <c r="AF10" t="s">
        <v>347</v>
      </c>
      <c r="AG10" t="s">
        <v>364</v>
      </c>
      <c r="AH10" t="s">
        <v>350</v>
      </c>
      <c r="AI10" t="s">
        <v>341</v>
      </c>
      <c r="AJ10" t="s">
        <v>347</v>
      </c>
      <c r="AK10" t="s">
        <v>365</v>
      </c>
      <c r="AL10" t="s">
        <v>366</v>
      </c>
      <c r="AM10" t="s">
        <v>345</v>
      </c>
      <c r="AN10" t="s">
        <v>367</v>
      </c>
      <c r="AO10" t="s">
        <v>368</v>
      </c>
      <c r="AP10" t="s">
        <v>369</v>
      </c>
    </row>
    <row r="11" spans="1:42" x14ac:dyDescent="0.25">
      <c r="A11" t="s">
        <v>370</v>
      </c>
      <c r="B11" t="s">
        <v>371</v>
      </c>
      <c r="C11" t="s">
        <v>372</v>
      </c>
      <c r="D11" t="s">
        <v>373</v>
      </c>
      <c r="E11" t="s">
        <v>374</v>
      </c>
      <c r="F11" t="s">
        <v>375</v>
      </c>
      <c r="G11" t="s">
        <v>358</v>
      </c>
      <c r="H11" t="s">
        <v>376</v>
      </c>
      <c r="I11" t="s">
        <v>377</v>
      </c>
      <c r="J11" t="s">
        <v>370</v>
      </c>
      <c r="K11" t="s">
        <v>378</v>
      </c>
      <c r="L11" t="s">
        <v>378</v>
      </c>
      <c r="M11" t="s">
        <v>370</v>
      </c>
      <c r="N11" t="s">
        <v>378</v>
      </c>
      <c r="O11" t="s">
        <v>378</v>
      </c>
      <c r="P11" t="s">
        <v>379</v>
      </c>
      <c r="Q11" t="s">
        <v>362</v>
      </c>
      <c r="R11" t="s">
        <v>380</v>
      </c>
      <c r="S11" t="s">
        <v>381</v>
      </c>
      <c r="T11" t="s">
        <v>382</v>
      </c>
      <c r="U11" t="s">
        <v>383</v>
      </c>
      <c r="V11" t="s">
        <v>384</v>
      </c>
      <c r="W11" t="s">
        <v>378</v>
      </c>
      <c r="X11" t="s">
        <v>385</v>
      </c>
      <c r="Y11" t="s">
        <v>342</v>
      </c>
      <c r="Z11" t="s">
        <v>375</v>
      </c>
      <c r="AA11" t="s">
        <v>386</v>
      </c>
      <c r="AB11" t="s">
        <v>378</v>
      </c>
      <c r="AC11" t="s">
        <v>387</v>
      </c>
      <c r="AD11" t="s">
        <v>350</v>
      </c>
      <c r="AE11" t="s">
        <v>378</v>
      </c>
      <c r="AF11" t="s">
        <v>378</v>
      </c>
      <c r="AG11" t="s">
        <v>388</v>
      </c>
      <c r="AH11" t="s">
        <v>378</v>
      </c>
      <c r="AI11" t="s">
        <v>370</v>
      </c>
      <c r="AJ11" t="s">
        <v>358</v>
      </c>
      <c r="AK11" t="s">
        <v>378</v>
      </c>
      <c r="AL11" t="s">
        <v>389</v>
      </c>
      <c r="AM11" t="s">
        <v>358</v>
      </c>
      <c r="AN11" t="s">
        <v>390</v>
      </c>
      <c r="AO11" t="s">
        <v>391</v>
      </c>
      <c r="AP11" t="s">
        <v>392</v>
      </c>
    </row>
    <row r="12" spans="1:42" x14ac:dyDescent="0.25">
      <c r="A12" t="s">
        <v>393</v>
      </c>
      <c r="B12" t="s">
        <v>394</v>
      </c>
      <c r="C12" t="s">
        <v>395</v>
      </c>
      <c r="D12" t="s">
        <v>396</v>
      </c>
      <c r="E12" t="s">
        <v>397</v>
      </c>
      <c r="F12" t="s">
        <v>398</v>
      </c>
      <c r="G12" t="s">
        <v>399</v>
      </c>
      <c r="H12" t="s">
        <v>400</v>
      </c>
      <c r="I12" t="s">
        <v>401</v>
      </c>
      <c r="J12" t="s">
        <v>393</v>
      </c>
      <c r="K12" t="s">
        <v>386</v>
      </c>
      <c r="L12" t="s">
        <v>402</v>
      </c>
      <c r="M12" t="s">
        <v>358</v>
      </c>
      <c r="N12" t="s">
        <v>347</v>
      </c>
      <c r="O12" t="s">
        <v>393</v>
      </c>
      <c r="P12" t="s">
        <v>403</v>
      </c>
      <c r="Q12" t="s">
        <v>393</v>
      </c>
      <c r="R12" t="s">
        <v>404</v>
      </c>
      <c r="S12" t="s">
        <v>405</v>
      </c>
      <c r="T12" t="s">
        <v>406</v>
      </c>
      <c r="U12" t="s">
        <v>407</v>
      </c>
      <c r="V12" t="s">
        <v>408</v>
      </c>
      <c r="W12" t="s">
        <v>388</v>
      </c>
      <c r="X12" t="s">
        <v>409</v>
      </c>
      <c r="Y12" t="s">
        <v>410</v>
      </c>
      <c r="Z12" t="s">
        <v>411</v>
      </c>
      <c r="AA12" t="s">
        <v>412</v>
      </c>
      <c r="AB12" t="s">
        <v>390</v>
      </c>
      <c r="AC12" t="s">
        <v>413</v>
      </c>
      <c r="AD12" t="s">
        <v>386</v>
      </c>
      <c r="AE12" t="s">
        <v>399</v>
      </c>
      <c r="AF12" t="s">
        <v>399</v>
      </c>
      <c r="AG12" t="s">
        <v>414</v>
      </c>
      <c r="AH12" t="s">
        <v>386</v>
      </c>
      <c r="AI12" t="s">
        <v>393</v>
      </c>
      <c r="AJ12" t="s">
        <v>393</v>
      </c>
      <c r="AK12" t="s">
        <v>345</v>
      </c>
      <c r="AL12" t="s">
        <v>415</v>
      </c>
      <c r="AM12" t="s">
        <v>416</v>
      </c>
      <c r="AN12" t="s">
        <v>397</v>
      </c>
      <c r="AO12" t="s">
        <v>411</v>
      </c>
      <c r="AP12" t="s">
        <v>417</v>
      </c>
    </row>
    <row r="13" spans="1:42" x14ac:dyDescent="0.25">
      <c r="A13" t="s">
        <v>342</v>
      </c>
      <c r="B13" t="s">
        <v>397</v>
      </c>
      <c r="C13" t="s">
        <v>418</v>
      </c>
      <c r="D13" t="s">
        <v>419</v>
      </c>
      <c r="E13" t="s">
        <v>356</v>
      </c>
      <c r="F13" t="s">
        <v>420</v>
      </c>
      <c r="G13" t="s">
        <v>388</v>
      </c>
      <c r="H13" t="s">
        <v>421</v>
      </c>
      <c r="I13" t="s">
        <v>422</v>
      </c>
      <c r="J13" t="s">
        <v>342</v>
      </c>
      <c r="K13" t="s">
        <v>388</v>
      </c>
      <c r="L13" t="s">
        <v>390</v>
      </c>
      <c r="M13" t="s">
        <v>378</v>
      </c>
      <c r="N13" t="s">
        <v>390</v>
      </c>
      <c r="O13" t="s">
        <v>406</v>
      </c>
      <c r="P13" t="s">
        <v>423</v>
      </c>
      <c r="Q13" t="s">
        <v>424</v>
      </c>
      <c r="R13" t="s">
        <v>425</v>
      </c>
      <c r="S13" t="s">
        <v>426</v>
      </c>
      <c r="T13" t="s">
        <v>378</v>
      </c>
      <c r="U13" t="s">
        <v>427</v>
      </c>
      <c r="V13" t="s">
        <v>390</v>
      </c>
      <c r="W13" t="s">
        <v>362</v>
      </c>
      <c r="X13" t="s">
        <v>428</v>
      </c>
      <c r="Y13" t="s">
        <v>388</v>
      </c>
      <c r="Z13" t="s">
        <v>429</v>
      </c>
      <c r="AA13" t="s">
        <v>390</v>
      </c>
      <c r="AB13" t="s">
        <v>384</v>
      </c>
      <c r="AC13" t="s">
        <v>430</v>
      </c>
      <c r="AD13" t="s">
        <v>388</v>
      </c>
      <c r="AE13" t="s">
        <v>406</v>
      </c>
      <c r="AF13" t="s">
        <v>412</v>
      </c>
      <c r="AG13" t="s">
        <v>412</v>
      </c>
      <c r="AH13" t="s">
        <v>388</v>
      </c>
      <c r="AI13" t="s">
        <v>342</v>
      </c>
      <c r="AJ13" t="s">
        <v>388</v>
      </c>
      <c r="AK13" t="s">
        <v>371</v>
      </c>
      <c r="AL13" t="s">
        <v>431</v>
      </c>
      <c r="AM13" t="s">
        <v>356</v>
      </c>
      <c r="AN13" t="s">
        <v>416</v>
      </c>
      <c r="AO13" t="s">
        <v>375</v>
      </c>
      <c r="AP13" t="s">
        <v>432</v>
      </c>
    </row>
    <row r="14" spans="1:42" x14ac:dyDescent="0.25">
      <c r="A14" t="s">
        <v>433</v>
      </c>
      <c r="B14" t="s">
        <v>434</v>
      </c>
      <c r="C14" t="s">
        <v>435</v>
      </c>
      <c r="D14" t="s">
        <v>436</v>
      </c>
      <c r="E14" t="s">
        <v>437</v>
      </c>
      <c r="F14" t="s">
        <v>438</v>
      </c>
      <c r="G14" t="s">
        <v>439</v>
      </c>
      <c r="H14" t="s">
        <v>440</v>
      </c>
      <c r="I14" t="s">
        <v>441</v>
      </c>
      <c r="J14" t="s">
        <v>433</v>
      </c>
      <c r="K14" t="s">
        <v>442</v>
      </c>
      <c r="L14" t="s">
        <v>443</v>
      </c>
      <c r="M14" t="s">
        <v>444</v>
      </c>
      <c r="N14" t="s">
        <v>443</v>
      </c>
      <c r="O14" t="s">
        <v>445</v>
      </c>
      <c r="P14" t="s">
        <v>446</v>
      </c>
      <c r="Q14" t="s">
        <v>447</v>
      </c>
      <c r="R14" t="s">
        <v>448</v>
      </c>
      <c r="S14" t="s">
        <v>449</v>
      </c>
      <c r="T14" t="s">
        <v>450</v>
      </c>
      <c r="U14" t="s">
        <v>451</v>
      </c>
      <c r="V14" t="s">
        <v>452</v>
      </c>
      <c r="W14" t="s">
        <v>453</v>
      </c>
      <c r="X14" t="s">
        <v>454</v>
      </c>
      <c r="Y14" t="s">
        <v>455</v>
      </c>
      <c r="Z14" t="s">
        <v>456</v>
      </c>
      <c r="AA14" t="s">
        <v>457</v>
      </c>
      <c r="AB14" t="s">
        <v>458</v>
      </c>
      <c r="AC14" t="s">
        <v>459</v>
      </c>
      <c r="AD14" t="s">
        <v>460</v>
      </c>
      <c r="AE14" t="s">
        <v>461</v>
      </c>
      <c r="AF14" t="s">
        <v>462</v>
      </c>
      <c r="AG14" t="s">
        <v>463</v>
      </c>
      <c r="AH14" t="s">
        <v>464</v>
      </c>
      <c r="AI14" t="s">
        <v>433</v>
      </c>
      <c r="AJ14" t="s">
        <v>439</v>
      </c>
      <c r="AK14" t="s">
        <v>465</v>
      </c>
      <c r="AL14" t="s">
        <v>466</v>
      </c>
      <c r="AM14" t="s">
        <v>467</v>
      </c>
      <c r="AN14" t="s">
        <v>468</v>
      </c>
      <c r="AO14" t="s">
        <v>469</v>
      </c>
      <c r="AP14" t="s">
        <v>470</v>
      </c>
    </row>
    <row r="15" spans="1:42" x14ac:dyDescent="0.25">
      <c r="A15" t="s">
        <v>471</v>
      </c>
      <c r="B15" t="s">
        <v>472</v>
      </c>
      <c r="C15" t="s">
        <v>473</v>
      </c>
      <c r="D15" t="s">
        <v>474</v>
      </c>
      <c r="E15" t="s">
        <v>475</v>
      </c>
      <c r="F15" t="s">
        <v>476</v>
      </c>
      <c r="G15" t="s">
        <v>477</v>
      </c>
      <c r="H15" t="s">
        <v>478</v>
      </c>
      <c r="I15" t="s">
        <v>479</v>
      </c>
      <c r="J15" t="s">
        <v>471</v>
      </c>
      <c r="K15" t="s">
        <v>480</v>
      </c>
      <c r="L15" t="s">
        <v>471</v>
      </c>
      <c r="M15" t="s">
        <v>471</v>
      </c>
      <c r="N15" t="s">
        <v>481</v>
      </c>
      <c r="O15" t="s">
        <v>482</v>
      </c>
      <c r="P15" t="s">
        <v>483</v>
      </c>
      <c r="Q15" t="s">
        <v>484</v>
      </c>
      <c r="R15" t="s">
        <v>485</v>
      </c>
      <c r="S15" t="s">
        <v>486</v>
      </c>
      <c r="T15" t="s">
        <v>471</v>
      </c>
      <c r="U15" t="s">
        <v>487</v>
      </c>
      <c r="V15" t="s">
        <v>481</v>
      </c>
      <c r="W15" t="s">
        <v>488</v>
      </c>
      <c r="X15" t="s">
        <v>489</v>
      </c>
      <c r="Y15" t="s">
        <v>490</v>
      </c>
      <c r="Z15" t="s">
        <v>491</v>
      </c>
      <c r="AA15" t="s">
        <v>388</v>
      </c>
      <c r="AB15" t="s">
        <v>388</v>
      </c>
      <c r="AC15" t="s">
        <v>492</v>
      </c>
      <c r="AD15" t="s">
        <v>493</v>
      </c>
      <c r="AE15" t="s">
        <v>388</v>
      </c>
      <c r="AF15" t="s">
        <v>388</v>
      </c>
      <c r="AG15" t="s">
        <v>494</v>
      </c>
      <c r="AH15" t="s">
        <v>480</v>
      </c>
      <c r="AI15" t="s">
        <v>471</v>
      </c>
      <c r="AJ15" t="s">
        <v>482</v>
      </c>
      <c r="AK15" t="s">
        <v>388</v>
      </c>
      <c r="AL15" t="s">
        <v>495</v>
      </c>
      <c r="AM15" t="s">
        <v>388</v>
      </c>
      <c r="AN15" t="s">
        <v>496</v>
      </c>
      <c r="AO15" t="s">
        <v>361</v>
      </c>
      <c r="AP15" t="s">
        <v>497</v>
      </c>
    </row>
    <row r="18" spans="1:42" x14ac:dyDescent="0.25">
      <c r="A18" t="s">
        <v>498</v>
      </c>
      <c r="B18" t="s">
        <v>499</v>
      </c>
      <c r="C18" t="s">
        <v>500</v>
      </c>
      <c r="D18" t="s">
        <v>501</v>
      </c>
      <c r="E18" t="s">
        <v>416</v>
      </c>
      <c r="F18" t="s">
        <v>502</v>
      </c>
      <c r="G18" t="s">
        <v>503</v>
      </c>
      <c r="H18" t="s">
        <v>504</v>
      </c>
      <c r="I18" t="s">
        <v>498</v>
      </c>
      <c r="J18" t="s">
        <v>505</v>
      </c>
      <c r="K18" t="s">
        <v>506</v>
      </c>
      <c r="L18" t="s">
        <v>507</v>
      </c>
      <c r="M18" t="s">
        <v>508</v>
      </c>
      <c r="N18" t="s">
        <v>498</v>
      </c>
      <c r="O18" t="s">
        <v>498</v>
      </c>
      <c r="P18" t="s">
        <v>509</v>
      </c>
      <c r="Q18" t="s">
        <v>498</v>
      </c>
      <c r="R18" t="s">
        <v>510</v>
      </c>
      <c r="S18" t="s">
        <v>511</v>
      </c>
      <c r="T18" t="s">
        <v>512</v>
      </c>
      <c r="U18" t="s">
        <v>513</v>
      </c>
      <c r="V18" t="s">
        <v>498</v>
      </c>
      <c r="W18" t="s">
        <v>514</v>
      </c>
      <c r="X18" t="s">
        <v>515</v>
      </c>
      <c r="Y18" t="s">
        <v>516</v>
      </c>
      <c r="Z18" t="s">
        <v>502</v>
      </c>
      <c r="AA18" t="s">
        <v>517</v>
      </c>
      <c r="AB18" t="s">
        <v>507</v>
      </c>
      <c r="AC18" t="s">
        <v>518</v>
      </c>
      <c r="AD18" t="s">
        <v>519</v>
      </c>
      <c r="AE18" t="s">
        <v>514</v>
      </c>
      <c r="AF18" t="s">
        <v>520</v>
      </c>
      <c r="AG18" t="s">
        <v>505</v>
      </c>
      <c r="AH18" t="s">
        <v>506</v>
      </c>
      <c r="AI18" t="s">
        <v>505</v>
      </c>
      <c r="AJ18" t="s">
        <v>498</v>
      </c>
      <c r="AK18" t="s">
        <v>521</v>
      </c>
      <c r="AL18" t="s">
        <v>522</v>
      </c>
      <c r="AM18" t="s">
        <v>523</v>
      </c>
      <c r="AN18" t="s">
        <v>524</v>
      </c>
      <c r="AO18" t="s">
        <v>525</v>
      </c>
      <c r="AP18" t="s">
        <v>526</v>
      </c>
    </row>
    <row r="19" spans="1:42" x14ac:dyDescent="0.25">
      <c r="A19" t="s">
        <v>527</v>
      </c>
      <c r="B19" t="s">
        <v>528</v>
      </c>
      <c r="C19" t="s">
        <v>529</v>
      </c>
      <c r="D19" t="s">
        <v>530</v>
      </c>
      <c r="E19" t="s">
        <v>531</v>
      </c>
      <c r="F19" t="s">
        <v>532</v>
      </c>
      <c r="G19" t="s">
        <v>533</v>
      </c>
      <c r="H19" t="s">
        <v>534</v>
      </c>
      <c r="I19" t="s">
        <v>527</v>
      </c>
      <c r="J19" t="s">
        <v>535</v>
      </c>
      <c r="K19" t="s">
        <v>536</v>
      </c>
      <c r="L19" t="s">
        <v>537</v>
      </c>
      <c r="M19" t="s">
        <v>538</v>
      </c>
      <c r="N19" t="s">
        <v>539</v>
      </c>
      <c r="O19" t="s">
        <v>527</v>
      </c>
      <c r="P19" t="s">
        <v>540</v>
      </c>
      <c r="Q19" t="s">
        <v>527</v>
      </c>
      <c r="R19" t="s">
        <v>541</v>
      </c>
      <c r="S19" t="s">
        <v>542</v>
      </c>
      <c r="T19" t="s">
        <v>543</v>
      </c>
      <c r="U19" t="s">
        <v>544</v>
      </c>
      <c r="V19" t="s">
        <v>539</v>
      </c>
      <c r="W19" t="s">
        <v>545</v>
      </c>
      <c r="X19" t="s">
        <v>546</v>
      </c>
      <c r="Y19" t="s">
        <v>547</v>
      </c>
      <c r="Z19" t="s">
        <v>532</v>
      </c>
      <c r="AA19" t="s">
        <v>548</v>
      </c>
      <c r="AB19" t="s">
        <v>537</v>
      </c>
      <c r="AC19" t="s">
        <v>549</v>
      </c>
      <c r="AD19" t="s">
        <v>550</v>
      </c>
      <c r="AE19" t="s">
        <v>551</v>
      </c>
      <c r="AF19" t="s">
        <v>545</v>
      </c>
      <c r="AG19" t="s">
        <v>535</v>
      </c>
      <c r="AH19" t="s">
        <v>536</v>
      </c>
      <c r="AI19" t="s">
        <v>535</v>
      </c>
      <c r="AJ19" t="s">
        <v>527</v>
      </c>
      <c r="AK19" t="s">
        <v>552</v>
      </c>
      <c r="AL19" t="s">
        <v>553</v>
      </c>
      <c r="AM19" t="s">
        <v>554</v>
      </c>
      <c r="AN19" t="s">
        <v>555</v>
      </c>
      <c r="AO19" t="s">
        <v>556</v>
      </c>
      <c r="AP19" t="s">
        <v>557</v>
      </c>
    </row>
    <row r="20" spans="1:42" x14ac:dyDescent="0.25">
      <c r="A20" t="s">
        <v>558</v>
      </c>
      <c r="B20" t="s">
        <v>559</v>
      </c>
      <c r="C20" t="s">
        <v>560</v>
      </c>
      <c r="D20" t="s">
        <v>561</v>
      </c>
      <c r="E20" t="s">
        <v>562</v>
      </c>
      <c r="F20" t="s">
        <v>563</v>
      </c>
      <c r="G20" t="s">
        <v>564</v>
      </c>
      <c r="H20" t="s">
        <v>565</v>
      </c>
      <c r="I20" t="s">
        <v>558</v>
      </c>
      <c r="J20" t="s">
        <v>566</v>
      </c>
      <c r="K20" t="s">
        <v>567</v>
      </c>
      <c r="L20" t="s">
        <v>568</v>
      </c>
      <c r="M20" t="s">
        <v>569</v>
      </c>
      <c r="N20" t="s">
        <v>570</v>
      </c>
      <c r="O20" t="s">
        <v>558</v>
      </c>
      <c r="P20" t="s">
        <v>571</v>
      </c>
      <c r="Q20" t="s">
        <v>558</v>
      </c>
      <c r="R20" t="s">
        <v>572</v>
      </c>
      <c r="S20" t="s">
        <v>573</v>
      </c>
      <c r="T20" t="s">
        <v>574</v>
      </c>
      <c r="U20" t="s">
        <v>575</v>
      </c>
      <c r="V20" t="s">
        <v>576</v>
      </c>
      <c r="W20" t="s">
        <v>559</v>
      </c>
      <c r="X20" t="s">
        <v>577</v>
      </c>
      <c r="Y20" t="s">
        <v>578</v>
      </c>
      <c r="Z20" t="s">
        <v>579</v>
      </c>
      <c r="AA20" t="s">
        <v>580</v>
      </c>
      <c r="AB20" t="s">
        <v>581</v>
      </c>
      <c r="AC20" t="s">
        <v>582</v>
      </c>
      <c r="AD20" t="s">
        <v>583</v>
      </c>
      <c r="AE20" t="s">
        <v>584</v>
      </c>
      <c r="AF20" t="s">
        <v>559</v>
      </c>
      <c r="AG20" t="s">
        <v>566</v>
      </c>
      <c r="AH20" t="s">
        <v>585</v>
      </c>
      <c r="AI20" t="s">
        <v>586</v>
      </c>
      <c r="AJ20" t="s">
        <v>558</v>
      </c>
      <c r="AK20" t="s">
        <v>587</v>
      </c>
      <c r="AL20" t="s">
        <v>588</v>
      </c>
      <c r="AM20" t="s">
        <v>589</v>
      </c>
      <c r="AN20" t="s">
        <v>590</v>
      </c>
      <c r="AO20" t="s">
        <v>563</v>
      </c>
      <c r="AP20" t="s">
        <v>591</v>
      </c>
    </row>
    <row r="21" spans="1:42" x14ac:dyDescent="0.25">
      <c r="A21" t="s">
        <v>592</v>
      </c>
      <c r="B21" t="s">
        <v>593</v>
      </c>
      <c r="C21" t="s">
        <v>594</v>
      </c>
      <c r="D21" t="s">
        <v>595</v>
      </c>
      <c r="E21" t="s">
        <v>596</v>
      </c>
      <c r="F21" t="s">
        <v>597</v>
      </c>
      <c r="G21" t="s">
        <v>598</v>
      </c>
      <c r="H21" t="s">
        <v>599</v>
      </c>
      <c r="I21" t="s">
        <v>592</v>
      </c>
      <c r="J21" t="s">
        <v>600</v>
      </c>
      <c r="K21" t="s">
        <v>601</v>
      </c>
      <c r="L21" t="s">
        <v>602</v>
      </c>
      <c r="M21" t="s">
        <v>603</v>
      </c>
      <c r="N21" t="s">
        <v>604</v>
      </c>
      <c r="O21" t="s">
        <v>592</v>
      </c>
      <c r="P21" t="s">
        <v>605</v>
      </c>
      <c r="Q21" t="s">
        <v>592</v>
      </c>
      <c r="R21" t="s">
        <v>606</v>
      </c>
      <c r="S21" t="s">
        <v>607</v>
      </c>
      <c r="T21" t="s">
        <v>608</v>
      </c>
      <c r="U21" t="s">
        <v>609</v>
      </c>
      <c r="V21" t="s">
        <v>610</v>
      </c>
      <c r="W21" t="s">
        <v>611</v>
      </c>
      <c r="X21" t="s">
        <v>612</v>
      </c>
      <c r="Y21" t="s">
        <v>613</v>
      </c>
      <c r="Z21" t="s">
        <v>614</v>
      </c>
      <c r="AA21" t="s">
        <v>615</v>
      </c>
      <c r="AB21" t="s">
        <v>602</v>
      </c>
      <c r="AC21" t="s">
        <v>616</v>
      </c>
      <c r="AD21" t="s">
        <v>617</v>
      </c>
      <c r="AE21" t="s">
        <v>618</v>
      </c>
      <c r="AF21" t="s">
        <v>619</v>
      </c>
      <c r="AG21" t="s">
        <v>620</v>
      </c>
      <c r="AH21" t="s">
        <v>601</v>
      </c>
      <c r="AI21" t="s">
        <v>620</v>
      </c>
      <c r="AJ21" t="s">
        <v>592</v>
      </c>
      <c r="AK21" t="s">
        <v>602</v>
      </c>
      <c r="AL21" t="s">
        <v>621</v>
      </c>
      <c r="AM21" t="s">
        <v>622</v>
      </c>
      <c r="AN21" t="s">
        <v>623</v>
      </c>
      <c r="AO21" t="s">
        <v>624</v>
      </c>
      <c r="AP21" t="s">
        <v>625</v>
      </c>
    </row>
    <row r="22" spans="1:42" x14ac:dyDescent="0.25">
      <c r="A22" t="s">
        <v>626</v>
      </c>
      <c r="B22" t="s">
        <v>627</v>
      </c>
      <c r="C22" t="s">
        <v>628</v>
      </c>
      <c r="D22" t="s">
        <v>629</v>
      </c>
      <c r="E22" t="s">
        <v>630</v>
      </c>
      <c r="F22" t="s">
        <v>631</v>
      </c>
      <c r="G22" t="s">
        <v>632</v>
      </c>
      <c r="H22" t="s">
        <v>633</v>
      </c>
      <c r="I22" t="s">
        <v>626</v>
      </c>
      <c r="J22" t="s">
        <v>634</v>
      </c>
      <c r="K22" t="s">
        <v>635</v>
      </c>
      <c r="L22" t="s">
        <v>586</v>
      </c>
      <c r="M22" t="s">
        <v>636</v>
      </c>
      <c r="N22" t="s">
        <v>637</v>
      </c>
      <c r="O22" t="s">
        <v>626</v>
      </c>
      <c r="P22" t="s">
        <v>638</v>
      </c>
      <c r="Q22" t="s">
        <v>626</v>
      </c>
      <c r="R22" t="s">
        <v>639</v>
      </c>
      <c r="S22" t="s">
        <v>640</v>
      </c>
      <c r="T22" t="s">
        <v>641</v>
      </c>
      <c r="U22" t="s">
        <v>642</v>
      </c>
      <c r="V22" t="s">
        <v>643</v>
      </c>
      <c r="W22" t="s">
        <v>644</v>
      </c>
      <c r="X22" t="s">
        <v>645</v>
      </c>
      <c r="Y22" t="s">
        <v>646</v>
      </c>
      <c r="Z22" t="s">
        <v>647</v>
      </c>
      <c r="AA22" t="s">
        <v>648</v>
      </c>
      <c r="AB22" t="s">
        <v>649</v>
      </c>
      <c r="AC22" t="s">
        <v>650</v>
      </c>
      <c r="AD22" t="s">
        <v>651</v>
      </c>
      <c r="AE22" t="s">
        <v>652</v>
      </c>
      <c r="AF22" t="s">
        <v>653</v>
      </c>
      <c r="AG22" t="s">
        <v>634</v>
      </c>
      <c r="AH22" t="s">
        <v>654</v>
      </c>
      <c r="AI22" t="s">
        <v>634</v>
      </c>
      <c r="AJ22" t="s">
        <v>626</v>
      </c>
      <c r="AK22" t="s">
        <v>586</v>
      </c>
      <c r="AL22" t="s">
        <v>655</v>
      </c>
      <c r="AM22" t="s">
        <v>656</v>
      </c>
      <c r="AN22" t="s">
        <v>657</v>
      </c>
      <c r="AO22" t="s">
        <v>658</v>
      </c>
      <c r="AP22" t="s">
        <v>659</v>
      </c>
    </row>
    <row r="23" spans="1:42" x14ac:dyDescent="0.25">
      <c r="A23" t="s">
        <v>660</v>
      </c>
      <c r="B23" t="s">
        <v>661</v>
      </c>
      <c r="C23" t="s">
        <v>662</v>
      </c>
      <c r="D23" t="s">
        <v>663</v>
      </c>
      <c r="E23" t="s">
        <v>664</v>
      </c>
      <c r="F23" t="s">
        <v>665</v>
      </c>
      <c r="G23" t="s">
        <v>666</v>
      </c>
      <c r="H23" t="s">
        <v>667</v>
      </c>
      <c r="I23" t="s">
        <v>660</v>
      </c>
      <c r="J23" t="s">
        <v>668</v>
      </c>
      <c r="K23" t="s">
        <v>669</v>
      </c>
      <c r="L23" t="s">
        <v>670</v>
      </c>
      <c r="M23" t="s">
        <v>671</v>
      </c>
      <c r="N23" t="s">
        <v>672</v>
      </c>
      <c r="O23" t="s">
        <v>660</v>
      </c>
      <c r="P23" t="s">
        <v>673</v>
      </c>
      <c r="Q23" t="s">
        <v>660</v>
      </c>
      <c r="R23" t="s">
        <v>674</v>
      </c>
      <c r="S23" t="s">
        <v>675</v>
      </c>
      <c r="T23" t="s">
        <v>676</v>
      </c>
      <c r="U23" t="s">
        <v>677</v>
      </c>
      <c r="V23" t="s">
        <v>678</v>
      </c>
      <c r="W23" t="s">
        <v>679</v>
      </c>
      <c r="X23" t="s">
        <v>680</v>
      </c>
      <c r="Y23" t="s">
        <v>681</v>
      </c>
      <c r="Z23" t="s">
        <v>665</v>
      </c>
      <c r="AA23" t="s">
        <v>682</v>
      </c>
      <c r="AB23" t="s">
        <v>670</v>
      </c>
      <c r="AC23" t="s">
        <v>683</v>
      </c>
      <c r="AD23" t="s">
        <v>684</v>
      </c>
      <c r="AE23" t="s">
        <v>685</v>
      </c>
      <c r="AF23" t="s">
        <v>686</v>
      </c>
      <c r="AG23" t="s">
        <v>668</v>
      </c>
      <c r="AH23" t="s">
        <v>687</v>
      </c>
      <c r="AI23" t="s">
        <v>668</v>
      </c>
      <c r="AJ23" t="s">
        <v>660</v>
      </c>
      <c r="AK23" t="s">
        <v>670</v>
      </c>
      <c r="AL23" t="s">
        <v>688</v>
      </c>
      <c r="AM23" t="s">
        <v>689</v>
      </c>
      <c r="AN23" t="s">
        <v>690</v>
      </c>
      <c r="AO23" t="s">
        <v>691</v>
      </c>
      <c r="AP23" t="s">
        <v>692</v>
      </c>
    </row>
    <row r="24" spans="1:42" x14ac:dyDescent="0.25">
      <c r="A24" t="s">
        <v>693</v>
      </c>
      <c r="B24" t="s">
        <v>694</v>
      </c>
      <c r="C24" t="s">
        <v>695</v>
      </c>
      <c r="D24" t="s">
        <v>696</v>
      </c>
      <c r="E24" t="s">
        <v>697</v>
      </c>
      <c r="F24" t="s">
        <v>698</v>
      </c>
      <c r="G24" t="s">
        <v>699</v>
      </c>
      <c r="H24" t="s">
        <v>700</v>
      </c>
      <c r="I24" t="s">
        <v>693</v>
      </c>
      <c r="J24" t="s">
        <v>701</v>
      </c>
      <c r="K24" t="s">
        <v>702</v>
      </c>
      <c r="L24" t="s">
        <v>703</v>
      </c>
      <c r="M24" t="s">
        <v>704</v>
      </c>
      <c r="N24" t="s">
        <v>705</v>
      </c>
      <c r="O24" t="s">
        <v>693</v>
      </c>
      <c r="P24" t="s">
        <v>706</v>
      </c>
      <c r="Q24" t="s">
        <v>693</v>
      </c>
      <c r="R24" t="s">
        <v>707</v>
      </c>
      <c r="S24" t="s">
        <v>708</v>
      </c>
      <c r="T24" t="s">
        <v>709</v>
      </c>
      <c r="U24" t="s">
        <v>710</v>
      </c>
      <c r="V24" t="s">
        <v>711</v>
      </c>
      <c r="W24" t="s">
        <v>710</v>
      </c>
      <c r="X24" t="s">
        <v>712</v>
      </c>
      <c r="Y24" t="s">
        <v>713</v>
      </c>
      <c r="Z24" t="s">
        <v>714</v>
      </c>
      <c r="AA24" t="s">
        <v>715</v>
      </c>
      <c r="AB24" t="s">
        <v>703</v>
      </c>
      <c r="AC24" t="s">
        <v>716</v>
      </c>
      <c r="AD24" t="s">
        <v>702</v>
      </c>
      <c r="AE24" t="s">
        <v>710</v>
      </c>
      <c r="AF24" t="s">
        <v>717</v>
      </c>
      <c r="AG24" t="s">
        <v>701</v>
      </c>
      <c r="AH24" t="s">
        <v>702</v>
      </c>
      <c r="AI24" t="s">
        <v>718</v>
      </c>
      <c r="AJ24" t="s">
        <v>693</v>
      </c>
      <c r="AK24" t="s">
        <v>719</v>
      </c>
      <c r="AL24" t="s">
        <v>720</v>
      </c>
      <c r="AM24" t="s">
        <v>721</v>
      </c>
      <c r="AN24" t="s">
        <v>722</v>
      </c>
      <c r="AO24" t="s">
        <v>723</v>
      </c>
      <c r="AP24" t="s">
        <v>724</v>
      </c>
    </row>
    <row r="25" spans="1:42" x14ac:dyDescent="0.25">
      <c r="A25" t="s">
        <v>725</v>
      </c>
      <c r="B25" t="s">
        <v>725</v>
      </c>
      <c r="C25" t="s">
        <v>726</v>
      </c>
      <c r="D25" t="s">
        <v>727</v>
      </c>
      <c r="E25" t="s">
        <v>728</v>
      </c>
      <c r="F25" t="s">
        <v>729</v>
      </c>
      <c r="G25" t="s">
        <v>730</v>
      </c>
      <c r="H25" t="s">
        <v>731</v>
      </c>
      <c r="I25" t="s">
        <v>725</v>
      </c>
      <c r="J25" t="s">
        <v>732</v>
      </c>
      <c r="K25" t="s">
        <v>725</v>
      </c>
      <c r="L25" t="s">
        <v>725</v>
      </c>
      <c r="M25" t="s">
        <v>725</v>
      </c>
      <c r="N25" t="s">
        <v>725</v>
      </c>
      <c r="O25" t="s">
        <v>733</v>
      </c>
      <c r="P25" t="s">
        <v>734</v>
      </c>
      <c r="Q25" t="s">
        <v>725</v>
      </c>
      <c r="R25" t="s">
        <v>735</v>
      </c>
      <c r="S25" t="s">
        <v>736</v>
      </c>
      <c r="T25" t="s">
        <v>725</v>
      </c>
      <c r="U25" t="s">
        <v>725</v>
      </c>
      <c r="V25" t="s">
        <v>725</v>
      </c>
      <c r="W25" t="s">
        <v>730</v>
      </c>
      <c r="X25" t="s">
        <v>737</v>
      </c>
      <c r="Y25" t="s">
        <v>738</v>
      </c>
      <c r="Z25" t="s">
        <v>739</v>
      </c>
      <c r="AA25" t="s">
        <v>725</v>
      </c>
      <c r="AB25" t="s">
        <v>725</v>
      </c>
      <c r="AC25" t="s">
        <v>740</v>
      </c>
      <c r="AD25" t="s">
        <v>741</v>
      </c>
      <c r="AE25" t="s">
        <v>725</v>
      </c>
      <c r="AF25" t="s">
        <v>742</v>
      </c>
      <c r="AG25" t="s">
        <v>725</v>
      </c>
      <c r="AH25" t="s">
        <v>725</v>
      </c>
      <c r="AI25" t="s">
        <v>725</v>
      </c>
      <c r="AJ25" t="s">
        <v>743</v>
      </c>
      <c r="AK25" t="s">
        <v>744</v>
      </c>
      <c r="AL25" t="s">
        <v>745</v>
      </c>
      <c r="AM25" t="s">
        <v>746</v>
      </c>
      <c r="AN25" t="s">
        <v>747</v>
      </c>
      <c r="AO25" t="s">
        <v>748</v>
      </c>
      <c r="AP25" t="s">
        <v>749</v>
      </c>
    </row>
    <row r="26" spans="1:42" x14ac:dyDescent="0.25">
      <c r="A26" t="s">
        <v>750</v>
      </c>
      <c r="B26" t="s">
        <v>751</v>
      </c>
      <c r="C26" t="s">
        <v>752</v>
      </c>
      <c r="D26" t="s">
        <v>753</v>
      </c>
      <c r="E26" t="s">
        <v>754</v>
      </c>
      <c r="F26" t="s">
        <v>755</v>
      </c>
      <c r="G26" t="s">
        <v>750</v>
      </c>
      <c r="H26" t="s">
        <v>756</v>
      </c>
      <c r="I26" t="s">
        <v>750</v>
      </c>
      <c r="J26" t="s">
        <v>757</v>
      </c>
      <c r="K26" t="s">
        <v>750</v>
      </c>
      <c r="L26" t="s">
        <v>750</v>
      </c>
      <c r="M26" t="s">
        <v>750</v>
      </c>
      <c r="N26" t="s">
        <v>750</v>
      </c>
      <c r="O26" t="s">
        <v>758</v>
      </c>
      <c r="P26" t="s">
        <v>759</v>
      </c>
      <c r="Q26" t="s">
        <v>750</v>
      </c>
      <c r="R26" t="s">
        <v>760</v>
      </c>
      <c r="S26" t="s">
        <v>761</v>
      </c>
      <c r="T26" t="s">
        <v>750</v>
      </c>
      <c r="U26" t="s">
        <v>762</v>
      </c>
      <c r="V26" t="s">
        <v>750</v>
      </c>
      <c r="W26" t="s">
        <v>750</v>
      </c>
      <c r="X26" t="s">
        <v>763</v>
      </c>
      <c r="Y26" t="s">
        <v>512</v>
      </c>
      <c r="Z26" t="s">
        <v>764</v>
      </c>
      <c r="AA26" t="s">
        <v>765</v>
      </c>
      <c r="AB26" t="s">
        <v>750</v>
      </c>
      <c r="AC26" t="s">
        <v>766</v>
      </c>
      <c r="AD26" t="s">
        <v>767</v>
      </c>
      <c r="AE26" t="s">
        <v>754</v>
      </c>
      <c r="AF26" t="s">
        <v>750</v>
      </c>
      <c r="AG26" t="s">
        <v>750</v>
      </c>
      <c r="AH26" t="s">
        <v>750</v>
      </c>
      <c r="AI26" t="s">
        <v>750</v>
      </c>
      <c r="AJ26" t="s">
        <v>750</v>
      </c>
      <c r="AK26" t="s">
        <v>750</v>
      </c>
      <c r="AL26" t="s">
        <v>768</v>
      </c>
      <c r="AM26" t="s">
        <v>769</v>
      </c>
      <c r="AN26" t="s">
        <v>770</v>
      </c>
      <c r="AO26" t="s">
        <v>771</v>
      </c>
      <c r="AP26" t="s">
        <v>772</v>
      </c>
    </row>
    <row r="27" spans="1:42" x14ac:dyDescent="0.25">
      <c r="A27" t="s">
        <v>559</v>
      </c>
      <c r="B27" t="s">
        <v>559</v>
      </c>
      <c r="C27" t="s">
        <v>773</v>
      </c>
      <c r="D27" t="s">
        <v>774</v>
      </c>
      <c r="E27" t="s">
        <v>559</v>
      </c>
      <c r="F27" t="s">
        <v>775</v>
      </c>
      <c r="G27" t="s">
        <v>559</v>
      </c>
      <c r="H27" t="s">
        <v>776</v>
      </c>
      <c r="I27" t="s">
        <v>559</v>
      </c>
      <c r="J27" t="s">
        <v>777</v>
      </c>
      <c r="K27" t="s">
        <v>559</v>
      </c>
      <c r="L27" t="s">
        <v>559</v>
      </c>
      <c r="M27" t="s">
        <v>778</v>
      </c>
      <c r="N27" t="s">
        <v>559</v>
      </c>
      <c r="O27" t="s">
        <v>779</v>
      </c>
      <c r="P27" t="s">
        <v>780</v>
      </c>
      <c r="Q27" t="s">
        <v>781</v>
      </c>
      <c r="R27" t="s">
        <v>782</v>
      </c>
      <c r="S27" t="s">
        <v>783</v>
      </c>
      <c r="T27" t="s">
        <v>784</v>
      </c>
      <c r="U27" t="s">
        <v>559</v>
      </c>
      <c r="V27" t="s">
        <v>559</v>
      </c>
      <c r="W27" t="s">
        <v>559</v>
      </c>
      <c r="X27" t="s">
        <v>785</v>
      </c>
      <c r="Y27" t="s">
        <v>786</v>
      </c>
      <c r="Z27" t="s">
        <v>787</v>
      </c>
      <c r="AA27" t="s">
        <v>559</v>
      </c>
      <c r="AB27" t="s">
        <v>559</v>
      </c>
      <c r="AC27" t="s">
        <v>788</v>
      </c>
      <c r="AD27" t="s">
        <v>559</v>
      </c>
      <c r="AE27" t="s">
        <v>559</v>
      </c>
      <c r="AF27" t="s">
        <v>559</v>
      </c>
      <c r="AG27" t="s">
        <v>559</v>
      </c>
      <c r="AH27" t="s">
        <v>559</v>
      </c>
      <c r="AI27" t="s">
        <v>559</v>
      </c>
      <c r="AJ27" t="s">
        <v>559</v>
      </c>
      <c r="AK27" t="s">
        <v>789</v>
      </c>
      <c r="AL27" t="s">
        <v>790</v>
      </c>
      <c r="AM27" t="s">
        <v>559</v>
      </c>
      <c r="AN27" t="s">
        <v>791</v>
      </c>
      <c r="AO27" t="s">
        <v>792</v>
      </c>
      <c r="AP27" t="s">
        <v>793</v>
      </c>
    </row>
    <row r="28" spans="1:42" x14ac:dyDescent="0.25">
      <c r="A28" t="s">
        <v>794</v>
      </c>
      <c r="B28" t="s">
        <v>795</v>
      </c>
      <c r="C28" t="s">
        <v>796</v>
      </c>
      <c r="D28" t="s">
        <v>797</v>
      </c>
      <c r="E28" t="s">
        <v>794</v>
      </c>
      <c r="F28" t="s">
        <v>798</v>
      </c>
      <c r="G28" t="s">
        <v>799</v>
      </c>
      <c r="H28" t="s">
        <v>800</v>
      </c>
      <c r="I28" t="s">
        <v>794</v>
      </c>
      <c r="J28" t="s">
        <v>801</v>
      </c>
      <c r="K28" t="s">
        <v>794</v>
      </c>
      <c r="L28" t="s">
        <v>794</v>
      </c>
      <c r="M28" t="s">
        <v>794</v>
      </c>
      <c r="N28" t="s">
        <v>794</v>
      </c>
      <c r="O28" t="s">
        <v>802</v>
      </c>
      <c r="P28" t="s">
        <v>803</v>
      </c>
      <c r="Q28" t="s">
        <v>794</v>
      </c>
      <c r="R28" t="s">
        <v>804</v>
      </c>
      <c r="S28" t="s">
        <v>805</v>
      </c>
      <c r="T28" t="s">
        <v>806</v>
      </c>
      <c r="U28" t="s">
        <v>794</v>
      </c>
      <c r="V28" t="s">
        <v>794</v>
      </c>
      <c r="W28" t="s">
        <v>794</v>
      </c>
      <c r="X28" t="s">
        <v>807</v>
      </c>
      <c r="Y28" t="s">
        <v>808</v>
      </c>
      <c r="Z28" t="s">
        <v>809</v>
      </c>
      <c r="AA28" t="s">
        <v>794</v>
      </c>
      <c r="AB28" t="s">
        <v>794</v>
      </c>
      <c r="AC28" t="s">
        <v>810</v>
      </c>
      <c r="AD28" t="s">
        <v>811</v>
      </c>
      <c r="AE28" t="s">
        <v>799</v>
      </c>
      <c r="AF28" t="s">
        <v>794</v>
      </c>
      <c r="AG28" t="s">
        <v>794</v>
      </c>
      <c r="AH28" t="s">
        <v>794</v>
      </c>
      <c r="AI28" t="s">
        <v>794</v>
      </c>
      <c r="AJ28" t="s">
        <v>799</v>
      </c>
      <c r="AK28" t="s">
        <v>812</v>
      </c>
      <c r="AL28" t="s">
        <v>813</v>
      </c>
      <c r="AM28" t="s">
        <v>814</v>
      </c>
      <c r="AN28" t="s">
        <v>815</v>
      </c>
      <c r="AO28" t="s">
        <v>816</v>
      </c>
      <c r="AP28" t="s">
        <v>817</v>
      </c>
    </row>
    <row r="29" spans="1:42" x14ac:dyDescent="0.25">
      <c r="A29" t="s">
        <v>818</v>
      </c>
      <c r="B29" t="s">
        <v>819</v>
      </c>
      <c r="C29" t="s">
        <v>820</v>
      </c>
      <c r="D29" t="s">
        <v>821</v>
      </c>
      <c r="E29" t="s">
        <v>818</v>
      </c>
      <c r="F29" t="s">
        <v>822</v>
      </c>
      <c r="G29" t="s">
        <v>823</v>
      </c>
      <c r="H29" t="s">
        <v>824</v>
      </c>
      <c r="I29" t="s">
        <v>818</v>
      </c>
      <c r="J29" t="s">
        <v>825</v>
      </c>
      <c r="K29" t="s">
        <v>818</v>
      </c>
      <c r="L29" t="s">
        <v>819</v>
      </c>
      <c r="M29" t="s">
        <v>826</v>
      </c>
      <c r="N29" t="s">
        <v>823</v>
      </c>
      <c r="O29" t="s">
        <v>823</v>
      </c>
      <c r="P29" t="s">
        <v>827</v>
      </c>
      <c r="Q29" t="s">
        <v>823</v>
      </c>
      <c r="R29" t="s">
        <v>828</v>
      </c>
      <c r="S29" t="s">
        <v>829</v>
      </c>
      <c r="T29" t="s">
        <v>830</v>
      </c>
      <c r="U29" t="s">
        <v>826</v>
      </c>
      <c r="V29" t="s">
        <v>831</v>
      </c>
      <c r="W29" t="s">
        <v>832</v>
      </c>
      <c r="X29" t="s">
        <v>833</v>
      </c>
      <c r="Y29" t="s">
        <v>834</v>
      </c>
      <c r="Z29" t="s">
        <v>835</v>
      </c>
      <c r="AA29" t="s">
        <v>836</v>
      </c>
      <c r="AB29" t="s">
        <v>823</v>
      </c>
      <c r="AC29" t="s">
        <v>837</v>
      </c>
      <c r="AD29" t="s">
        <v>819</v>
      </c>
      <c r="AE29" t="s">
        <v>823</v>
      </c>
      <c r="AF29" t="s">
        <v>823</v>
      </c>
      <c r="AG29" t="s">
        <v>819</v>
      </c>
      <c r="AH29" t="s">
        <v>830</v>
      </c>
      <c r="AI29" t="s">
        <v>819</v>
      </c>
      <c r="AJ29" t="s">
        <v>818</v>
      </c>
      <c r="AK29" t="s">
        <v>838</v>
      </c>
      <c r="AL29" t="s">
        <v>839</v>
      </c>
      <c r="AM29" t="s">
        <v>818</v>
      </c>
      <c r="AN29" t="s">
        <v>840</v>
      </c>
      <c r="AO29" t="s">
        <v>841</v>
      </c>
      <c r="AP29" t="s">
        <v>842</v>
      </c>
    </row>
    <row r="30" spans="1:42" x14ac:dyDescent="0.25">
      <c r="A30" t="s">
        <v>843</v>
      </c>
      <c r="B30" t="s">
        <v>844</v>
      </c>
      <c r="C30" t="s">
        <v>845</v>
      </c>
      <c r="D30" t="s">
        <v>846</v>
      </c>
      <c r="E30" t="s">
        <v>847</v>
      </c>
      <c r="F30" t="s">
        <v>848</v>
      </c>
      <c r="G30" t="s">
        <v>843</v>
      </c>
      <c r="H30" t="s">
        <v>849</v>
      </c>
      <c r="I30" t="s">
        <v>843</v>
      </c>
      <c r="J30" t="s">
        <v>850</v>
      </c>
      <c r="K30" t="s">
        <v>851</v>
      </c>
      <c r="L30" t="s">
        <v>843</v>
      </c>
      <c r="M30" t="s">
        <v>843</v>
      </c>
      <c r="N30" t="s">
        <v>843</v>
      </c>
      <c r="O30" t="s">
        <v>852</v>
      </c>
      <c r="P30" t="s">
        <v>853</v>
      </c>
      <c r="Q30" t="s">
        <v>843</v>
      </c>
      <c r="R30" t="s">
        <v>854</v>
      </c>
      <c r="S30" t="s">
        <v>855</v>
      </c>
      <c r="T30" t="s">
        <v>856</v>
      </c>
      <c r="U30" t="s">
        <v>843</v>
      </c>
      <c r="V30" t="s">
        <v>856</v>
      </c>
      <c r="W30" t="s">
        <v>857</v>
      </c>
      <c r="X30" t="s">
        <v>858</v>
      </c>
      <c r="Y30" t="s">
        <v>859</v>
      </c>
      <c r="Z30" t="s">
        <v>860</v>
      </c>
      <c r="AA30" t="s">
        <v>861</v>
      </c>
      <c r="AB30" t="s">
        <v>843</v>
      </c>
      <c r="AC30" t="s">
        <v>862</v>
      </c>
      <c r="AD30" t="s">
        <v>863</v>
      </c>
      <c r="AE30" t="s">
        <v>843</v>
      </c>
      <c r="AF30" t="s">
        <v>864</v>
      </c>
      <c r="AG30" t="s">
        <v>843</v>
      </c>
      <c r="AH30" t="s">
        <v>856</v>
      </c>
      <c r="AI30" t="s">
        <v>843</v>
      </c>
      <c r="AJ30" t="s">
        <v>843</v>
      </c>
      <c r="AK30" t="s">
        <v>865</v>
      </c>
      <c r="AL30" t="s">
        <v>866</v>
      </c>
      <c r="AM30" t="s">
        <v>867</v>
      </c>
      <c r="AN30" t="s">
        <v>868</v>
      </c>
      <c r="AO30" t="s">
        <v>869</v>
      </c>
      <c r="AP30" t="s">
        <v>870</v>
      </c>
    </row>
    <row r="31" spans="1:42" x14ac:dyDescent="0.25">
      <c r="A31" t="s">
        <v>871</v>
      </c>
      <c r="B31" t="s">
        <v>872</v>
      </c>
      <c r="C31" t="s">
        <v>873</v>
      </c>
      <c r="D31" t="s">
        <v>874</v>
      </c>
      <c r="E31" t="s">
        <v>875</v>
      </c>
      <c r="F31" t="s">
        <v>876</v>
      </c>
      <c r="G31" t="s">
        <v>871</v>
      </c>
      <c r="H31" t="s">
        <v>877</v>
      </c>
      <c r="I31" t="s">
        <v>871</v>
      </c>
      <c r="J31" t="s">
        <v>878</v>
      </c>
      <c r="K31" t="s">
        <v>879</v>
      </c>
      <c r="L31" t="s">
        <v>871</v>
      </c>
      <c r="M31" t="s">
        <v>871</v>
      </c>
      <c r="N31" t="s">
        <v>871</v>
      </c>
      <c r="O31" t="s">
        <v>880</v>
      </c>
      <c r="P31" t="s">
        <v>881</v>
      </c>
      <c r="Q31" t="s">
        <v>871</v>
      </c>
      <c r="R31" t="s">
        <v>882</v>
      </c>
      <c r="S31" t="s">
        <v>883</v>
      </c>
      <c r="T31" t="s">
        <v>884</v>
      </c>
      <c r="U31" t="s">
        <v>871</v>
      </c>
      <c r="V31" t="s">
        <v>884</v>
      </c>
      <c r="W31" t="s">
        <v>885</v>
      </c>
      <c r="X31" t="s">
        <v>886</v>
      </c>
      <c r="Y31" t="s">
        <v>887</v>
      </c>
      <c r="Z31" t="s">
        <v>888</v>
      </c>
      <c r="AA31" t="s">
        <v>889</v>
      </c>
      <c r="AB31" t="s">
        <v>871</v>
      </c>
      <c r="AC31" t="s">
        <v>890</v>
      </c>
      <c r="AD31" t="s">
        <v>850</v>
      </c>
      <c r="AE31" t="s">
        <v>871</v>
      </c>
      <c r="AF31" t="s">
        <v>891</v>
      </c>
      <c r="AG31" t="s">
        <v>871</v>
      </c>
      <c r="AH31" t="s">
        <v>884</v>
      </c>
      <c r="AI31" t="s">
        <v>871</v>
      </c>
      <c r="AJ31" t="s">
        <v>871</v>
      </c>
      <c r="AK31" t="s">
        <v>892</v>
      </c>
      <c r="AL31" t="s">
        <v>893</v>
      </c>
      <c r="AM31" t="s">
        <v>894</v>
      </c>
      <c r="AN31" t="s">
        <v>895</v>
      </c>
      <c r="AO31" t="s">
        <v>896</v>
      </c>
      <c r="AP31" t="s">
        <v>897</v>
      </c>
    </row>
    <row r="32" spans="1:42" x14ac:dyDescent="0.25">
      <c r="A32" t="s">
        <v>898</v>
      </c>
      <c r="B32" t="s">
        <v>899</v>
      </c>
      <c r="C32" t="s">
        <v>900</v>
      </c>
      <c r="D32" t="s">
        <v>901</v>
      </c>
      <c r="E32" t="s">
        <v>902</v>
      </c>
      <c r="F32" t="s">
        <v>903</v>
      </c>
      <c r="G32" t="s">
        <v>904</v>
      </c>
      <c r="H32" t="s">
        <v>905</v>
      </c>
      <c r="I32" t="s">
        <v>898</v>
      </c>
      <c r="J32" t="s">
        <v>906</v>
      </c>
      <c r="K32" t="s">
        <v>898</v>
      </c>
      <c r="L32" t="s">
        <v>898</v>
      </c>
      <c r="M32" t="s">
        <v>898</v>
      </c>
      <c r="N32" t="s">
        <v>898</v>
      </c>
      <c r="O32" t="s">
        <v>907</v>
      </c>
      <c r="P32" t="s">
        <v>908</v>
      </c>
      <c r="Q32" t="s">
        <v>898</v>
      </c>
      <c r="R32" t="s">
        <v>909</v>
      </c>
      <c r="S32" t="s">
        <v>910</v>
      </c>
      <c r="T32" t="s">
        <v>898</v>
      </c>
      <c r="U32" t="s">
        <v>911</v>
      </c>
      <c r="V32" t="s">
        <v>912</v>
      </c>
      <c r="W32" t="s">
        <v>904</v>
      </c>
      <c r="X32" t="s">
        <v>913</v>
      </c>
      <c r="Y32" t="s">
        <v>914</v>
      </c>
      <c r="Z32" t="s">
        <v>915</v>
      </c>
      <c r="AA32" t="s">
        <v>916</v>
      </c>
      <c r="AB32" t="s">
        <v>898</v>
      </c>
      <c r="AC32" t="s">
        <v>917</v>
      </c>
      <c r="AD32" t="s">
        <v>918</v>
      </c>
      <c r="AE32" t="s">
        <v>904</v>
      </c>
      <c r="AF32" t="s">
        <v>898</v>
      </c>
      <c r="AG32" t="s">
        <v>919</v>
      </c>
      <c r="AH32" t="s">
        <v>898</v>
      </c>
      <c r="AI32" t="s">
        <v>919</v>
      </c>
      <c r="AJ32" t="s">
        <v>904</v>
      </c>
      <c r="AK32" t="s">
        <v>898</v>
      </c>
      <c r="AL32" t="s">
        <v>920</v>
      </c>
      <c r="AM32" t="s">
        <v>921</v>
      </c>
      <c r="AN32" t="s">
        <v>922</v>
      </c>
      <c r="AO32" t="s">
        <v>923</v>
      </c>
      <c r="AP32" t="s">
        <v>924</v>
      </c>
    </row>
    <row r="33" spans="1:42" x14ac:dyDescent="0.25">
      <c r="A33" t="s">
        <v>925</v>
      </c>
      <c r="B33" t="s">
        <v>926</v>
      </c>
      <c r="C33" t="s">
        <v>927</v>
      </c>
      <c r="D33" t="s">
        <v>928</v>
      </c>
      <c r="E33" t="s">
        <v>544</v>
      </c>
      <c r="F33" t="s">
        <v>929</v>
      </c>
      <c r="G33" t="s">
        <v>930</v>
      </c>
      <c r="H33" t="s">
        <v>931</v>
      </c>
      <c r="I33" t="s">
        <v>925</v>
      </c>
      <c r="J33" t="s">
        <v>932</v>
      </c>
      <c r="K33" t="s">
        <v>925</v>
      </c>
      <c r="L33" t="s">
        <v>925</v>
      </c>
      <c r="M33" t="s">
        <v>925</v>
      </c>
      <c r="N33" t="s">
        <v>925</v>
      </c>
      <c r="O33" t="s">
        <v>933</v>
      </c>
      <c r="P33" t="s">
        <v>934</v>
      </c>
      <c r="Q33" t="s">
        <v>925</v>
      </c>
      <c r="R33" t="s">
        <v>935</v>
      </c>
      <c r="S33" t="s">
        <v>936</v>
      </c>
      <c r="T33" t="s">
        <v>937</v>
      </c>
      <c r="U33" t="s">
        <v>925</v>
      </c>
      <c r="V33" t="s">
        <v>925</v>
      </c>
      <c r="W33" t="s">
        <v>930</v>
      </c>
      <c r="X33" t="s">
        <v>938</v>
      </c>
      <c r="Y33" t="s">
        <v>939</v>
      </c>
      <c r="Z33" t="s">
        <v>940</v>
      </c>
      <c r="AA33" t="s">
        <v>930</v>
      </c>
      <c r="AB33" t="s">
        <v>925</v>
      </c>
      <c r="AC33" t="s">
        <v>941</v>
      </c>
      <c r="AD33" t="s">
        <v>942</v>
      </c>
      <c r="AE33" t="s">
        <v>930</v>
      </c>
      <c r="AF33" t="s">
        <v>925</v>
      </c>
      <c r="AG33" t="s">
        <v>925</v>
      </c>
      <c r="AH33" t="s">
        <v>925</v>
      </c>
      <c r="AI33" t="s">
        <v>925</v>
      </c>
      <c r="AJ33" t="s">
        <v>925</v>
      </c>
      <c r="AK33" t="s">
        <v>943</v>
      </c>
      <c r="AL33" t="s">
        <v>944</v>
      </c>
      <c r="AM33" t="s">
        <v>945</v>
      </c>
      <c r="AN33" t="s">
        <v>946</v>
      </c>
      <c r="AO33" t="s">
        <v>947</v>
      </c>
      <c r="AP33" t="s">
        <v>948</v>
      </c>
    </row>
    <row r="34" spans="1:42" x14ac:dyDescent="0.25">
      <c r="A34" t="s">
        <v>949</v>
      </c>
      <c r="B34" t="s">
        <v>950</v>
      </c>
      <c r="C34" t="s">
        <v>951</v>
      </c>
      <c r="D34" t="s">
        <v>952</v>
      </c>
      <c r="E34" t="s">
        <v>953</v>
      </c>
      <c r="F34" t="s">
        <v>954</v>
      </c>
      <c r="G34" t="s">
        <v>949</v>
      </c>
      <c r="H34" t="s">
        <v>955</v>
      </c>
      <c r="I34" t="s">
        <v>949</v>
      </c>
      <c r="J34" t="s">
        <v>956</v>
      </c>
      <c r="K34" t="s">
        <v>949</v>
      </c>
      <c r="L34" t="s">
        <v>953</v>
      </c>
      <c r="M34" t="s">
        <v>953</v>
      </c>
      <c r="N34" t="s">
        <v>953</v>
      </c>
      <c r="O34" t="s">
        <v>949</v>
      </c>
      <c r="P34" t="s">
        <v>957</v>
      </c>
      <c r="Q34" t="s">
        <v>953</v>
      </c>
      <c r="R34" t="s">
        <v>958</v>
      </c>
      <c r="S34" t="s">
        <v>959</v>
      </c>
      <c r="T34" t="s">
        <v>953</v>
      </c>
      <c r="U34" t="s">
        <v>953</v>
      </c>
      <c r="V34" t="s">
        <v>953</v>
      </c>
      <c r="W34" t="s">
        <v>960</v>
      </c>
      <c r="X34" t="s">
        <v>961</v>
      </c>
      <c r="Y34" t="s">
        <v>962</v>
      </c>
      <c r="Z34" t="s">
        <v>963</v>
      </c>
      <c r="AA34" t="s">
        <v>960</v>
      </c>
      <c r="AB34" t="s">
        <v>953</v>
      </c>
      <c r="AC34" t="s">
        <v>964</v>
      </c>
      <c r="AD34" t="s">
        <v>965</v>
      </c>
      <c r="AE34" t="s">
        <v>966</v>
      </c>
      <c r="AF34" t="s">
        <v>949</v>
      </c>
      <c r="AG34" t="s">
        <v>953</v>
      </c>
      <c r="AH34" t="s">
        <v>953</v>
      </c>
      <c r="AI34" t="s">
        <v>949</v>
      </c>
      <c r="AJ34" t="s">
        <v>949</v>
      </c>
      <c r="AK34" t="s">
        <v>967</v>
      </c>
      <c r="AL34" t="s">
        <v>968</v>
      </c>
      <c r="AM34" t="s">
        <v>969</v>
      </c>
      <c r="AN34" t="s">
        <v>970</v>
      </c>
      <c r="AO34" t="s">
        <v>971</v>
      </c>
      <c r="AP34" t="s">
        <v>972</v>
      </c>
    </row>
    <row r="35" spans="1:42" x14ac:dyDescent="0.25">
      <c r="A35" t="s">
        <v>973</v>
      </c>
      <c r="B35" t="s">
        <v>974</v>
      </c>
      <c r="C35" t="s">
        <v>975</v>
      </c>
      <c r="D35" t="s">
        <v>976</v>
      </c>
      <c r="E35" t="s">
        <v>977</v>
      </c>
      <c r="F35" t="s">
        <v>978</v>
      </c>
      <c r="G35" t="s">
        <v>973</v>
      </c>
      <c r="H35" t="s">
        <v>979</v>
      </c>
      <c r="I35" t="s">
        <v>973</v>
      </c>
      <c r="J35" t="s">
        <v>980</v>
      </c>
      <c r="K35" t="s">
        <v>973</v>
      </c>
      <c r="L35" t="s">
        <v>973</v>
      </c>
      <c r="M35" t="s">
        <v>973</v>
      </c>
      <c r="N35" t="s">
        <v>973</v>
      </c>
      <c r="O35" t="s">
        <v>973</v>
      </c>
      <c r="P35" t="s">
        <v>981</v>
      </c>
      <c r="Q35" t="s">
        <v>973</v>
      </c>
      <c r="R35" t="s">
        <v>982</v>
      </c>
      <c r="S35" t="s">
        <v>983</v>
      </c>
      <c r="T35" t="s">
        <v>973</v>
      </c>
      <c r="U35" t="s">
        <v>984</v>
      </c>
      <c r="V35" t="s">
        <v>985</v>
      </c>
      <c r="W35" t="s">
        <v>973</v>
      </c>
      <c r="X35" t="s">
        <v>986</v>
      </c>
      <c r="Y35" t="s">
        <v>987</v>
      </c>
      <c r="Z35" t="s">
        <v>988</v>
      </c>
      <c r="AA35" t="s">
        <v>973</v>
      </c>
      <c r="AB35" t="s">
        <v>973</v>
      </c>
      <c r="AC35" t="s">
        <v>989</v>
      </c>
      <c r="AD35" t="s">
        <v>956</v>
      </c>
      <c r="AE35" t="s">
        <v>973</v>
      </c>
      <c r="AF35" t="s">
        <v>990</v>
      </c>
      <c r="AG35" t="s">
        <v>973</v>
      </c>
      <c r="AH35" t="s">
        <v>973</v>
      </c>
      <c r="AI35" t="s">
        <v>973</v>
      </c>
      <c r="AJ35" t="s">
        <v>973</v>
      </c>
      <c r="AK35" t="s">
        <v>991</v>
      </c>
      <c r="AL35" t="s">
        <v>992</v>
      </c>
      <c r="AM35" t="s">
        <v>993</v>
      </c>
      <c r="AN35" t="s">
        <v>994</v>
      </c>
      <c r="AO35" t="s">
        <v>995</v>
      </c>
      <c r="AP35" t="s">
        <v>996</v>
      </c>
    </row>
    <row r="36" spans="1:42" x14ac:dyDescent="0.25">
      <c r="A36" t="s">
        <v>997</v>
      </c>
      <c r="B36" t="s">
        <v>998</v>
      </c>
      <c r="C36" t="s">
        <v>999</v>
      </c>
      <c r="D36" t="s">
        <v>1000</v>
      </c>
      <c r="E36" t="s">
        <v>1001</v>
      </c>
      <c r="F36" t="s">
        <v>1002</v>
      </c>
      <c r="G36" t="s">
        <v>1003</v>
      </c>
      <c r="H36" t="s">
        <v>1004</v>
      </c>
      <c r="I36" t="s">
        <v>997</v>
      </c>
      <c r="J36" t="s">
        <v>1005</v>
      </c>
      <c r="K36" t="s">
        <v>997</v>
      </c>
      <c r="L36" t="s">
        <v>997</v>
      </c>
      <c r="M36" t="s">
        <v>997</v>
      </c>
      <c r="N36" t="s">
        <v>1003</v>
      </c>
      <c r="O36" t="s">
        <v>1006</v>
      </c>
      <c r="P36" t="s">
        <v>1007</v>
      </c>
      <c r="Q36" t="s">
        <v>1008</v>
      </c>
      <c r="R36" t="s">
        <v>1009</v>
      </c>
      <c r="S36" t="s">
        <v>1010</v>
      </c>
      <c r="T36" t="s">
        <v>997</v>
      </c>
      <c r="U36" t="s">
        <v>1003</v>
      </c>
      <c r="V36" t="s">
        <v>1003</v>
      </c>
      <c r="W36" t="s">
        <v>1011</v>
      </c>
      <c r="X36" t="s">
        <v>1012</v>
      </c>
      <c r="Y36" t="s">
        <v>1013</v>
      </c>
      <c r="Z36" t="s">
        <v>1014</v>
      </c>
      <c r="AA36" t="s">
        <v>1015</v>
      </c>
      <c r="AB36" t="s">
        <v>1003</v>
      </c>
      <c r="AC36" t="s">
        <v>1016</v>
      </c>
      <c r="AD36" t="s">
        <v>1017</v>
      </c>
      <c r="AE36" t="s">
        <v>1008</v>
      </c>
      <c r="AF36" t="s">
        <v>997</v>
      </c>
      <c r="AG36" t="s">
        <v>997</v>
      </c>
      <c r="AH36" t="s">
        <v>997</v>
      </c>
      <c r="AI36" t="s">
        <v>997</v>
      </c>
      <c r="AJ36" t="s">
        <v>1011</v>
      </c>
      <c r="AK36" t="s">
        <v>1018</v>
      </c>
      <c r="AL36" t="s">
        <v>1019</v>
      </c>
      <c r="AM36" t="s">
        <v>1020</v>
      </c>
      <c r="AN36" t="s">
        <v>1021</v>
      </c>
      <c r="AO36" t="s">
        <v>1022</v>
      </c>
      <c r="AP36" t="s">
        <v>1023</v>
      </c>
    </row>
    <row r="37" spans="1:42" x14ac:dyDescent="0.25">
      <c r="A37" t="s">
        <v>1024</v>
      </c>
      <c r="B37" t="s">
        <v>1025</v>
      </c>
      <c r="C37" t="s">
        <v>1026</v>
      </c>
      <c r="D37" t="s">
        <v>1027</v>
      </c>
      <c r="E37" t="s">
        <v>1028</v>
      </c>
      <c r="F37" t="s">
        <v>1029</v>
      </c>
      <c r="G37" t="s">
        <v>1030</v>
      </c>
      <c r="H37" t="s">
        <v>1031</v>
      </c>
      <c r="I37" t="s">
        <v>1032</v>
      </c>
      <c r="J37" t="s">
        <v>1024</v>
      </c>
      <c r="K37" t="s">
        <v>1024</v>
      </c>
      <c r="L37" t="s">
        <v>1033</v>
      </c>
      <c r="M37" t="s">
        <v>1024</v>
      </c>
      <c r="N37" t="s">
        <v>1034</v>
      </c>
      <c r="O37" t="s">
        <v>1035</v>
      </c>
      <c r="P37" t="s">
        <v>1036</v>
      </c>
      <c r="Q37" t="s">
        <v>1024</v>
      </c>
      <c r="R37" t="s">
        <v>1037</v>
      </c>
      <c r="S37" t="s">
        <v>1038</v>
      </c>
      <c r="T37" t="s">
        <v>1039</v>
      </c>
      <c r="U37" t="s">
        <v>1040</v>
      </c>
      <c r="V37" t="s">
        <v>1034</v>
      </c>
      <c r="W37" t="s">
        <v>1041</v>
      </c>
      <c r="X37" t="s">
        <v>1042</v>
      </c>
      <c r="Y37" t="s">
        <v>1028</v>
      </c>
      <c r="Z37" t="s">
        <v>1043</v>
      </c>
      <c r="AA37" t="s">
        <v>1040</v>
      </c>
      <c r="AB37" t="s">
        <v>1044</v>
      </c>
      <c r="AC37" t="s">
        <v>1045</v>
      </c>
      <c r="AD37" t="s">
        <v>1046</v>
      </c>
      <c r="AE37" t="s">
        <v>1047</v>
      </c>
      <c r="AF37" t="s">
        <v>1048</v>
      </c>
      <c r="AG37" t="s">
        <v>1049</v>
      </c>
      <c r="AH37" t="s">
        <v>1050</v>
      </c>
      <c r="AI37" t="s">
        <v>1051</v>
      </c>
      <c r="AJ37" t="s">
        <v>1052</v>
      </c>
      <c r="AK37" t="s">
        <v>1044</v>
      </c>
      <c r="AL37" t="s">
        <v>1053</v>
      </c>
      <c r="AM37" t="s">
        <v>1054</v>
      </c>
      <c r="AN37" t="s">
        <v>1055</v>
      </c>
      <c r="AO37" t="s">
        <v>1056</v>
      </c>
      <c r="AP37" t="s">
        <v>1057</v>
      </c>
    </row>
    <row r="38" spans="1:42" x14ac:dyDescent="0.25">
      <c r="A38" t="s">
        <v>1058</v>
      </c>
      <c r="B38" t="s">
        <v>1058</v>
      </c>
      <c r="C38" t="s">
        <v>1059</v>
      </c>
      <c r="D38" t="s">
        <v>1060</v>
      </c>
      <c r="E38" t="s">
        <v>1061</v>
      </c>
      <c r="F38" t="s">
        <v>1062</v>
      </c>
      <c r="G38" t="s">
        <v>1058</v>
      </c>
      <c r="H38" t="s">
        <v>1063</v>
      </c>
      <c r="I38" t="s">
        <v>1064</v>
      </c>
      <c r="J38" t="s">
        <v>1058</v>
      </c>
      <c r="K38" t="s">
        <v>1058</v>
      </c>
      <c r="L38" t="s">
        <v>1058</v>
      </c>
      <c r="M38" t="s">
        <v>1058</v>
      </c>
      <c r="N38" t="s">
        <v>1058</v>
      </c>
      <c r="O38" t="s">
        <v>1065</v>
      </c>
      <c r="P38" t="s">
        <v>1066</v>
      </c>
      <c r="Q38" t="s">
        <v>1058</v>
      </c>
      <c r="R38" t="s">
        <v>1067</v>
      </c>
      <c r="S38" t="s">
        <v>1068</v>
      </c>
      <c r="T38" t="s">
        <v>1069</v>
      </c>
      <c r="U38" t="s">
        <v>1070</v>
      </c>
      <c r="V38" t="s">
        <v>1058</v>
      </c>
      <c r="W38" t="s">
        <v>1058</v>
      </c>
      <c r="X38" t="s">
        <v>1071</v>
      </c>
      <c r="Y38" t="s">
        <v>1072</v>
      </c>
      <c r="Z38" t="s">
        <v>1062</v>
      </c>
      <c r="AA38" t="s">
        <v>1070</v>
      </c>
      <c r="AB38" t="s">
        <v>1058</v>
      </c>
      <c r="AC38" t="s">
        <v>1073</v>
      </c>
      <c r="AD38" t="s">
        <v>1058</v>
      </c>
      <c r="AE38" t="s">
        <v>1058</v>
      </c>
      <c r="AF38" t="s">
        <v>1058</v>
      </c>
      <c r="AG38" t="s">
        <v>1074</v>
      </c>
      <c r="AH38" t="s">
        <v>1058</v>
      </c>
      <c r="AI38" t="s">
        <v>1058</v>
      </c>
      <c r="AJ38" t="s">
        <v>1058</v>
      </c>
      <c r="AK38" t="s">
        <v>1058</v>
      </c>
      <c r="AL38" t="s">
        <v>1075</v>
      </c>
      <c r="AM38" t="s">
        <v>1058</v>
      </c>
      <c r="AN38" t="s">
        <v>1058</v>
      </c>
      <c r="AO38" t="s">
        <v>1062</v>
      </c>
      <c r="AP38" t="s">
        <v>1076</v>
      </c>
    </row>
    <row r="39" spans="1:42" x14ac:dyDescent="0.25">
      <c r="A39" t="s">
        <v>1077</v>
      </c>
      <c r="B39" t="s">
        <v>1078</v>
      </c>
      <c r="C39" t="s">
        <v>1079</v>
      </c>
      <c r="D39" t="s">
        <v>1080</v>
      </c>
      <c r="E39" t="s">
        <v>1077</v>
      </c>
      <c r="F39" t="s">
        <v>1081</v>
      </c>
      <c r="G39" t="s">
        <v>1077</v>
      </c>
      <c r="H39" t="s">
        <v>1082</v>
      </c>
      <c r="I39" t="s">
        <v>1083</v>
      </c>
      <c r="J39" t="s">
        <v>1084</v>
      </c>
      <c r="K39" t="s">
        <v>1084</v>
      </c>
      <c r="L39" t="s">
        <v>1077</v>
      </c>
      <c r="M39" t="s">
        <v>1077</v>
      </c>
      <c r="N39" t="s">
        <v>1077</v>
      </c>
      <c r="O39" t="s">
        <v>1077</v>
      </c>
      <c r="P39" t="s">
        <v>1085</v>
      </c>
      <c r="Q39" t="s">
        <v>1084</v>
      </c>
      <c r="R39" t="s">
        <v>1086</v>
      </c>
      <c r="S39" t="s">
        <v>1087</v>
      </c>
      <c r="T39" t="s">
        <v>1084</v>
      </c>
      <c r="U39" t="s">
        <v>1077</v>
      </c>
      <c r="V39" t="s">
        <v>1084</v>
      </c>
      <c r="W39" t="s">
        <v>1077</v>
      </c>
      <c r="X39" t="s">
        <v>1088</v>
      </c>
      <c r="Y39" t="s">
        <v>1089</v>
      </c>
      <c r="Z39" t="s">
        <v>1081</v>
      </c>
      <c r="AA39" t="s">
        <v>1077</v>
      </c>
      <c r="AB39" t="s">
        <v>1077</v>
      </c>
      <c r="AC39" t="s">
        <v>1090</v>
      </c>
      <c r="AD39" t="s">
        <v>1084</v>
      </c>
      <c r="AE39" t="s">
        <v>1091</v>
      </c>
      <c r="AF39" t="s">
        <v>1077</v>
      </c>
      <c r="AG39" t="s">
        <v>1081</v>
      </c>
      <c r="AH39" t="s">
        <v>1084</v>
      </c>
      <c r="AI39" t="s">
        <v>1084</v>
      </c>
      <c r="AJ39" t="s">
        <v>1084</v>
      </c>
      <c r="AK39" t="s">
        <v>1077</v>
      </c>
      <c r="AL39" t="s">
        <v>1092</v>
      </c>
      <c r="AM39" t="s">
        <v>1084</v>
      </c>
      <c r="AN39" t="s">
        <v>1077</v>
      </c>
      <c r="AO39" t="s">
        <v>1081</v>
      </c>
      <c r="AP39" t="s">
        <v>1090</v>
      </c>
    </row>
    <row r="40" spans="1:42" x14ac:dyDescent="0.25">
      <c r="A40" t="s">
        <v>1093</v>
      </c>
      <c r="B40" t="s">
        <v>1094</v>
      </c>
      <c r="C40" t="s">
        <v>1095</v>
      </c>
      <c r="D40" t="s">
        <v>1096</v>
      </c>
      <c r="E40" t="s">
        <v>1097</v>
      </c>
      <c r="F40" t="s">
        <v>1098</v>
      </c>
      <c r="G40" t="s">
        <v>1093</v>
      </c>
      <c r="H40" t="s">
        <v>1099</v>
      </c>
      <c r="I40" t="s">
        <v>1100</v>
      </c>
      <c r="J40" t="s">
        <v>1097</v>
      </c>
      <c r="K40" t="s">
        <v>1101</v>
      </c>
      <c r="L40" t="s">
        <v>1093</v>
      </c>
      <c r="M40" t="s">
        <v>1093</v>
      </c>
      <c r="N40" t="s">
        <v>1102</v>
      </c>
      <c r="O40" t="s">
        <v>1102</v>
      </c>
      <c r="P40" t="s">
        <v>1103</v>
      </c>
      <c r="Q40" t="s">
        <v>1093</v>
      </c>
      <c r="R40" t="s">
        <v>1104</v>
      </c>
      <c r="S40" t="s">
        <v>1105</v>
      </c>
      <c r="T40" t="s">
        <v>1093</v>
      </c>
      <c r="U40" t="s">
        <v>1094</v>
      </c>
      <c r="V40" t="s">
        <v>1097</v>
      </c>
      <c r="W40" t="s">
        <v>1093</v>
      </c>
      <c r="X40" t="s">
        <v>1106</v>
      </c>
      <c r="Y40" t="s">
        <v>1107</v>
      </c>
      <c r="Z40" t="s">
        <v>1098</v>
      </c>
      <c r="AA40" t="s">
        <v>1108</v>
      </c>
      <c r="AB40" t="s">
        <v>1093</v>
      </c>
      <c r="AC40" t="s">
        <v>1109</v>
      </c>
      <c r="AD40" t="s">
        <v>1108</v>
      </c>
      <c r="AE40" t="s">
        <v>1110</v>
      </c>
      <c r="AF40" t="s">
        <v>1093</v>
      </c>
      <c r="AG40" t="s">
        <v>1098</v>
      </c>
      <c r="AH40" t="s">
        <v>1101</v>
      </c>
      <c r="AI40" t="s">
        <v>1097</v>
      </c>
      <c r="AJ40" t="s">
        <v>1093</v>
      </c>
      <c r="AK40" t="s">
        <v>1093</v>
      </c>
      <c r="AL40" t="s">
        <v>1111</v>
      </c>
      <c r="AM40" t="s">
        <v>1097</v>
      </c>
      <c r="AN40" t="s">
        <v>1093</v>
      </c>
      <c r="AO40" t="s">
        <v>1098</v>
      </c>
      <c r="AP40" t="s">
        <v>1112</v>
      </c>
    </row>
    <row r="41" spans="1:42" x14ac:dyDescent="0.25">
      <c r="A41" t="s">
        <v>1113</v>
      </c>
      <c r="B41" t="s">
        <v>1114</v>
      </c>
      <c r="C41" t="s">
        <v>1115</v>
      </c>
      <c r="D41" t="s">
        <v>1116</v>
      </c>
      <c r="E41" t="s">
        <v>1117</v>
      </c>
      <c r="F41" t="s">
        <v>1118</v>
      </c>
      <c r="G41" t="s">
        <v>1119</v>
      </c>
      <c r="H41" t="s">
        <v>1120</v>
      </c>
      <c r="I41" t="s">
        <v>1121</v>
      </c>
      <c r="J41" t="s">
        <v>1122</v>
      </c>
      <c r="K41" t="s">
        <v>1123</v>
      </c>
      <c r="L41" t="s">
        <v>1124</v>
      </c>
      <c r="M41" t="s">
        <v>1125</v>
      </c>
      <c r="N41" t="s">
        <v>1126</v>
      </c>
      <c r="O41" t="s">
        <v>1126</v>
      </c>
      <c r="P41" t="s">
        <v>1127</v>
      </c>
      <c r="Q41" t="s">
        <v>1128</v>
      </c>
      <c r="R41" t="s">
        <v>1129</v>
      </c>
      <c r="S41" t="s">
        <v>1130</v>
      </c>
      <c r="T41" t="s">
        <v>1131</v>
      </c>
      <c r="U41" t="s">
        <v>1132</v>
      </c>
      <c r="V41" t="s">
        <v>1124</v>
      </c>
      <c r="W41" t="s">
        <v>1133</v>
      </c>
      <c r="X41" t="s">
        <v>1134</v>
      </c>
      <c r="Y41" t="s">
        <v>1135</v>
      </c>
      <c r="Z41" t="s">
        <v>1136</v>
      </c>
      <c r="AA41" t="s">
        <v>1133</v>
      </c>
      <c r="AB41" t="s">
        <v>1125</v>
      </c>
      <c r="AC41" t="s">
        <v>1137</v>
      </c>
      <c r="AD41" t="s">
        <v>1138</v>
      </c>
      <c r="AE41" t="s">
        <v>1139</v>
      </c>
      <c r="AF41" t="s">
        <v>1133</v>
      </c>
      <c r="AG41" t="s">
        <v>1140</v>
      </c>
      <c r="AH41" t="s">
        <v>1123</v>
      </c>
      <c r="AI41" t="s">
        <v>1122</v>
      </c>
      <c r="AJ41" t="s">
        <v>1141</v>
      </c>
      <c r="AK41" t="s">
        <v>1142</v>
      </c>
      <c r="AL41" t="s">
        <v>1143</v>
      </c>
      <c r="AM41" t="s">
        <v>1144</v>
      </c>
      <c r="AN41" t="s">
        <v>1145</v>
      </c>
      <c r="AO41" t="s">
        <v>1146</v>
      </c>
      <c r="AP41" t="s">
        <v>1147</v>
      </c>
    </row>
    <row r="42" spans="1:42" x14ac:dyDescent="0.25">
      <c r="A42" t="s">
        <v>1148</v>
      </c>
      <c r="B42" t="s">
        <v>1149</v>
      </c>
      <c r="C42" t="s">
        <v>1150</v>
      </c>
      <c r="D42" t="s">
        <v>1151</v>
      </c>
      <c r="E42" t="s">
        <v>1152</v>
      </c>
      <c r="F42" t="s">
        <v>1153</v>
      </c>
      <c r="G42" t="s">
        <v>1154</v>
      </c>
      <c r="H42" t="s">
        <v>1155</v>
      </c>
      <c r="I42" t="s">
        <v>1156</v>
      </c>
      <c r="J42" t="s">
        <v>1157</v>
      </c>
      <c r="K42" t="s">
        <v>1158</v>
      </c>
      <c r="L42" t="s">
        <v>1148</v>
      </c>
      <c r="M42" t="s">
        <v>1159</v>
      </c>
      <c r="N42" t="s">
        <v>1148</v>
      </c>
      <c r="O42" t="s">
        <v>1160</v>
      </c>
      <c r="P42" t="s">
        <v>1161</v>
      </c>
      <c r="Q42" t="s">
        <v>1148</v>
      </c>
      <c r="R42" t="s">
        <v>1162</v>
      </c>
      <c r="S42" t="s">
        <v>1163</v>
      </c>
      <c r="T42" t="s">
        <v>1164</v>
      </c>
      <c r="U42" t="s">
        <v>1165</v>
      </c>
      <c r="V42" t="s">
        <v>1148</v>
      </c>
      <c r="W42" t="s">
        <v>1166</v>
      </c>
      <c r="X42" t="s">
        <v>1167</v>
      </c>
      <c r="Y42" t="s">
        <v>1168</v>
      </c>
      <c r="Z42" t="s">
        <v>1169</v>
      </c>
      <c r="AA42" t="s">
        <v>1170</v>
      </c>
      <c r="AB42" t="s">
        <v>1148</v>
      </c>
      <c r="AC42" t="s">
        <v>1171</v>
      </c>
      <c r="AD42" t="s">
        <v>1164</v>
      </c>
      <c r="AE42" t="s">
        <v>1172</v>
      </c>
      <c r="AF42" t="s">
        <v>1164</v>
      </c>
      <c r="AG42" t="s">
        <v>1173</v>
      </c>
      <c r="AH42" t="s">
        <v>1174</v>
      </c>
      <c r="AI42" t="s">
        <v>1168</v>
      </c>
      <c r="AJ42" t="s">
        <v>1172</v>
      </c>
      <c r="AK42" t="s">
        <v>1148</v>
      </c>
      <c r="AL42" t="s">
        <v>1175</v>
      </c>
      <c r="AM42" t="s">
        <v>1176</v>
      </c>
      <c r="AN42" t="s">
        <v>1177</v>
      </c>
      <c r="AO42" t="s">
        <v>1178</v>
      </c>
      <c r="AP42" t="s">
        <v>1179</v>
      </c>
    </row>
    <row r="43" spans="1:42" x14ac:dyDescent="0.25">
      <c r="A43" t="s">
        <v>1180</v>
      </c>
      <c r="B43" t="s">
        <v>1180</v>
      </c>
      <c r="C43" t="s">
        <v>1181</v>
      </c>
      <c r="D43" t="s">
        <v>1182</v>
      </c>
      <c r="E43" t="s">
        <v>1183</v>
      </c>
      <c r="F43" t="s">
        <v>1184</v>
      </c>
      <c r="G43" t="s">
        <v>1180</v>
      </c>
      <c r="H43" t="s">
        <v>1185</v>
      </c>
      <c r="I43" t="s">
        <v>1185</v>
      </c>
      <c r="J43" t="s">
        <v>1180</v>
      </c>
      <c r="K43" t="s">
        <v>1186</v>
      </c>
      <c r="L43" t="s">
        <v>1180</v>
      </c>
      <c r="M43" t="s">
        <v>1180</v>
      </c>
      <c r="N43" t="s">
        <v>1180</v>
      </c>
      <c r="O43" t="s">
        <v>1180</v>
      </c>
      <c r="P43" t="s">
        <v>1187</v>
      </c>
      <c r="Q43" t="s">
        <v>1180</v>
      </c>
      <c r="R43" t="s">
        <v>1188</v>
      </c>
      <c r="S43" t="s">
        <v>1189</v>
      </c>
      <c r="T43" t="s">
        <v>1190</v>
      </c>
      <c r="U43" t="s">
        <v>1180</v>
      </c>
      <c r="V43" t="s">
        <v>1191</v>
      </c>
      <c r="W43" t="s">
        <v>1180</v>
      </c>
      <c r="X43" t="s">
        <v>1192</v>
      </c>
      <c r="Y43" t="s">
        <v>1193</v>
      </c>
      <c r="Z43" t="s">
        <v>1184</v>
      </c>
      <c r="AA43" t="s">
        <v>1180</v>
      </c>
      <c r="AB43" t="s">
        <v>1180</v>
      </c>
      <c r="AC43" t="s">
        <v>1194</v>
      </c>
      <c r="AD43" t="s">
        <v>1180</v>
      </c>
      <c r="AE43" t="s">
        <v>1195</v>
      </c>
      <c r="AF43" t="s">
        <v>1180</v>
      </c>
      <c r="AG43" t="s">
        <v>1184</v>
      </c>
      <c r="AH43" t="s">
        <v>1190</v>
      </c>
      <c r="AI43" t="s">
        <v>1180</v>
      </c>
      <c r="AJ43" t="s">
        <v>1190</v>
      </c>
      <c r="AK43" t="s">
        <v>1180</v>
      </c>
      <c r="AL43" t="s">
        <v>1196</v>
      </c>
      <c r="AM43" t="s">
        <v>1183</v>
      </c>
      <c r="AN43" t="s">
        <v>1180</v>
      </c>
      <c r="AO43" t="s">
        <v>1197</v>
      </c>
      <c r="AP43" t="s">
        <v>1194</v>
      </c>
    </row>
    <row r="44" spans="1:42" x14ac:dyDescent="0.25">
      <c r="A44" t="s">
        <v>1198</v>
      </c>
      <c r="B44" t="s">
        <v>1199</v>
      </c>
      <c r="C44" t="s">
        <v>1200</v>
      </c>
      <c r="D44" t="s">
        <v>1201</v>
      </c>
      <c r="E44" t="s">
        <v>1202</v>
      </c>
      <c r="F44" t="s">
        <v>1203</v>
      </c>
      <c r="G44" t="s">
        <v>1204</v>
      </c>
      <c r="H44" t="s">
        <v>1205</v>
      </c>
      <c r="I44" t="s">
        <v>1206</v>
      </c>
      <c r="J44" t="s">
        <v>1207</v>
      </c>
      <c r="K44" t="s">
        <v>1208</v>
      </c>
      <c r="L44" t="s">
        <v>1209</v>
      </c>
      <c r="M44" t="s">
        <v>1210</v>
      </c>
      <c r="N44" t="s">
        <v>1211</v>
      </c>
      <c r="O44" t="s">
        <v>1211</v>
      </c>
      <c r="P44" t="s">
        <v>1212</v>
      </c>
      <c r="Q44" t="s">
        <v>1213</v>
      </c>
      <c r="R44" t="s">
        <v>1214</v>
      </c>
      <c r="S44" t="s">
        <v>1215</v>
      </c>
      <c r="T44" t="s">
        <v>1216</v>
      </c>
      <c r="U44" t="s">
        <v>1217</v>
      </c>
      <c r="V44" t="s">
        <v>1218</v>
      </c>
      <c r="W44" t="s">
        <v>1219</v>
      </c>
      <c r="X44" t="s">
        <v>1220</v>
      </c>
      <c r="Y44" t="s">
        <v>1221</v>
      </c>
      <c r="Z44" t="s">
        <v>1222</v>
      </c>
      <c r="AA44" t="s">
        <v>1219</v>
      </c>
      <c r="AB44" t="s">
        <v>1223</v>
      </c>
      <c r="AC44" t="s">
        <v>1224</v>
      </c>
      <c r="AD44" t="s">
        <v>1225</v>
      </c>
      <c r="AE44" t="s">
        <v>1226</v>
      </c>
      <c r="AF44" t="s">
        <v>1227</v>
      </c>
      <c r="AG44" t="s">
        <v>1228</v>
      </c>
      <c r="AH44" t="s">
        <v>1229</v>
      </c>
      <c r="AI44" t="s">
        <v>1230</v>
      </c>
      <c r="AJ44" t="s">
        <v>1226</v>
      </c>
      <c r="AK44" t="s">
        <v>1231</v>
      </c>
      <c r="AL44" t="s">
        <v>1232</v>
      </c>
      <c r="AM44" t="s">
        <v>1233</v>
      </c>
      <c r="AN44" t="s">
        <v>1234</v>
      </c>
      <c r="AO44" t="s">
        <v>1235</v>
      </c>
      <c r="AP44" t="s">
        <v>1236</v>
      </c>
    </row>
    <row r="45" spans="1:42" x14ac:dyDescent="0.25">
      <c r="A45" t="s">
        <v>1237</v>
      </c>
      <c r="B45" t="s">
        <v>1238</v>
      </c>
      <c r="C45" t="s">
        <v>1239</v>
      </c>
      <c r="D45" t="s">
        <v>1240</v>
      </c>
      <c r="E45" t="s">
        <v>1241</v>
      </c>
      <c r="F45" t="s">
        <v>1242</v>
      </c>
      <c r="G45" t="s">
        <v>1243</v>
      </c>
      <c r="H45" t="s">
        <v>1244</v>
      </c>
      <c r="I45" t="s">
        <v>1245</v>
      </c>
      <c r="J45" t="s">
        <v>1237</v>
      </c>
      <c r="K45" t="s">
        <v>1237</v>
      </c>
      <c r="L45" t="s">
        <v>1237</v>
      </c>
      <c r="M45" t="s">
        <v>1237</v>
      </c>
      <c r="N45" t="s">
        <v>1246</v>
      </c>
      <c r="O45" t="s">
        <v>1246</v>
      </c>
      <c r="P45" t="s">
        <v>1247</v>
      </c>
      <c r="Q45" t="s">
        <v>1237</v>
      </c>
      <c r="R45" t="s">
        <v>1248</v>
      </c>
      <c r="S45" t="s">
        <v>1249</v>
      </c>
      <c r="T45" t="s">
        <v>1237</v>
      </c>
      <c r="U45" t="s">
        <v>1237</v>
      </c>
      <c r="V45" t="s">
        <v>1237</v>
      </c>
      <c r="W45" t="s">
        <v>1250</v>
      </c>
      <c r="X45" t="s">
        <v>1251</v>
      </c>
      <c r="Y45" t="s">
        <v>1252</v>
      </c>
      <c r="Z45" t="s">
        <v>1253</v>
      </c>
      <c r="AA45" t="s">
        <v>1237</v>
      </c>
      <c r="AB45" t="s">
        <v>1237</v>
      </c>
      <c r="AC45" t="s">
        <v>1254</v>
      </c>
      <c r="AD45" t="s">
        <v>1255</v>
      </c>
      <c r="AE45" t="s">
        <v>1256</v>
      </c>
      <c r="AF45" t="s">
        <v>1257</v>
      </c>
      <c r="AG45" t="s">
        <v>1258</v>
      </c>
      <c r="AH45" t="s">
        <v>1237</v>
      </c>
      <c r="AI45" t="s">
        <v>1237</v>
      </c>
      <c r="AJ45" t="s">
        <v>1256</v>
      </c>
      <c r="AK45" t="s">
        <v>1237</v>
      </c>
      <c r="AL45" t="s">
        <v>1259</v>
      </c>
      <c r="AM45" t="s">
        <v>1260</v>
      </c>
      <c r="AN45" t="s">
        <v>1261</v>
      </c>
      <c r="AO45" t="s">
        <v>1262</v>
      </c>
      <c r="AP45" t="s">
        <v>1263</v>
      </c>
    </row>
    <row r="46" spans="1:42" x14ac:dyDescent="0.25">
      <c r="A46" t="s">
        <v>1264</v>
      </c>
      <c r="B46" t="s">
        <v>1265</v>
      </c>
      <c r="C46" t="s">
        <v>1266</v>
      </c>
      <c r="D46" t="s">
        <v>1267</v>
      </c>
      <c r="E46" t="s">
        <v>1264</v>
      </c>
      <c r="F46" t="s">
        <v>1268</v>
      </c>
      <c r="G46" t="s">
        <v>1264</v>
      </c>
      <c r="H46" t="s">
        <v>1269</v>
      </c>
      <c r="I46" t="s">
        <v>1269</v>
      </c>
      <c r="J46" t="s">
        <v>1264</v>
      </c>
      <c r="K46" t="s">
        <v>1264</v>
      </c>
      <c r="L46" t="s">
        <v>1264</v>
      </c>
      <c r="M46" t="s">
        <v>1270</v>
      </c>
      <c r="N46" t="s">
        <v>1264</v>
      </c>
      <c r="O46" t="s">
        <v>1271</v>
      </c>
      <c r="P46" t="s">
        <v>1272</v>
      </c>
      <c r="Q46" t="s">
        <v>1273</v>
      </c>
      <c r="R46" t="s">
        <v>1274</v>
      </c>
      <c r="S46" t="s">
        <v>1275</v>
      </c>
      <c r="T46" t="s">
        <v>1276</v>
      </c>
      <c r="U46" t="s">
        <v>1264</v>
      </c>
      <c r="V46" t="s">
        <v>1264</v>
      </c>
      <c r="W46" t="s">
        <v>1264</v>
      </c>
      <c r="X46" t="s">
        <v>1277</v>
      </c>
      <c r="Y46" t="s">
        <v>1264</v>
      </c>
      <c r="Z46" t="s">
        <v>1278</v>
      </c>
      <c r="AA46" t="s">
        <v>1279</v>
      </c>
      <c r="AB46" t="s">
        <v>1264</v>
      </c>
      <c r="AC46" t="s">
        <v>1280</v>
      </c>
      <c r="AD46" t="s">
        <v>1281</v>
      </c>
      <c r="AE46" t="s">
        <v>1264</v>
      </c>
      <c r="AF46" t="s">
        <v>1264</v>
      </c>
      <c r="AG46" t="s">
        <v>1278</v>
      </c>
      <c r="AH46" t="s">
        <v>1276</v>
      </c>
      <c r="AI46" t="s">
        <v>1264</v>
      </c>
      <c r="AJ46" t="s">
        <v>1264</v>
      </c>
      <c r="AK46" t="s">
        <v>1264</v>
      </c>
      <c r="AL46" t="s">
        <v>1282</v>
      </c>
      <c r="AM46" t="s">
        <v>1283</v>
      </c>
      <c r="AN46" t="s">
        <v>1264</v>
      </c>
      <c r="AO46" t="s">
        <v>1278</v>
      </c>
      <c r="AP46" t="s">
        <v>1284</v>
      </c>
    </row>
    <row r="47" spans="1:42" x14ac:dyDescent="0.25">
      <c r="A47" t="s">
        <v>1285</v>
      </c>
      <c r="B47" t="s">
        <v>1286</v>
      </c>
      <c r="C47" t="s">
        <v>1287</v>
      </c>
      <c r="D47" t="s">
        <v>1288</v>
      </c>
      <c r="E47" t="s">
        <v>1289</v>
      </c>
      <c r="F47" t="s">
        <v>1290</v>
      </c>
      <c r="G47" t="s">
        <v>1291</v>
      </c>
      <c r="H47" t="s">
        <v>1292</v>
      </c>
      <c r="I47" t="s">
        <v>1292</v>
      </c>
      <c r="J47" t="s">
        <v>1293</v>
      </c>
      <c r="K47" t="s">
        <v>1294</v>
      </c>
      <c r="L47" t="s">
        <v>1295</v>
      </c>
      <c r="M47" t="s">
        <v>1296</v>
      </c>
      <c r="N47" t="s">
        <v>1285</v>
      </c>
      <c r="O47" t="s">
        <v>1297</v>
      </c>
      <c r="P47" t="s">
        <v>1298</v>
      </c>
      <c r="Q47" t="s">
        <v>1295</v>
      </c>
      <c r="R47" t="s">
        <v>1299</v>
      </c>
      <c r="S47" t="s">
        <v>1300</v>
      </c>
      <c r="T47" t="s">
        <v>1301</v>
      </c>
      <c r="U47" t="s">
        <v>1302</v>
      </c>
      <c r="V47" t="s">
        <v>1303</v>
      </c>
      <c r="W47" t="s">
        <v>1304</v>
      </c>
      <c r="X47" t="s">
        <v>1305</v>
      </c>
      <c r="Y47" t="s">
        <v>1306</v>
      </c>
      <c r="Z47" t="s">
        <v>1307</v>
      </c>
      <c r="AA47" t="s">
        <v>1308</v>
      </c>
      <c r="AB47" t="s">
        <v>1309</v>
      </c>
      <c r="AC47" t="s">
        <v>1310</v>
      </c>
      <c r="AD47" t="s">
        <v>1311</v>
      </c>
      <c r="AE47" t="s">
        <v>1312</v>
      </c>
      <c r="AF47" t="s">
        <v>1313</v>
      </c>
      <c r="AG47" t="s">
        <v>1314</v>
      </c>
      <c r="AH47" t="s">
        <v>1315</v>
      </c>
      <c r="AI47" t="s">
        <v>1316</v>
      </c>
      <c r="AJ47" t="s">
        <v>1304</v>
      </c>
      <c r="AK47" t="s">
        <v>1317</v>
      </c>
      <c r="AL47" t="s">
        <v>1318</v>
      </c>
      <c r="AM47" t="s">
        <v>1319</v>
      </c>
      <c r="AN47" t="s">
        <v>1320</v>
      </c>
      <c r="AO47" t="s">
        <v>1321</v>
      </c>
      <c r="AP47" t="s">
        <v>1322</v>
      </c>
    </row>
    <row r="48" spans="1:42" x14ac:dyDescent="0.25">
      <c r="A48" t="s">
        <v>1323</v>
      </c>
      <c r="B48" t="s">
        <v>1324</v>
      </c>
      <c r="C48" t="s">
        <v>1325</v>
      </c>
      <c r="D48" t="s">
        <v>1326</v>
      </c>
      <c r="E48" t="s">
        <v>1327</v>
      </c>
      <c r="F48" t="s">
        <v>1328</v>
      </c>
      <c r="G48" t="s">
        <v>1329</v>
      </c>
      <c r="H48" t="s">
        <v>1330</v>
      </c>
      <c r="I48" t="s">
        <v>1330</v>
      </c>
      <c r="J48" t="s">
        <v>1331</v>
      </c>
      <c r="K48" t="s">
        <v>1332</v>
      </c>
      <c r="L48" t="s">
        <v>1323</v>
      </c>
      <c r="M48" t="s">
        <v>1323</v>
      </c>
      <c r="N48" t="s">
        <v>1331</v>
      </c>
      <c r="O48" t="s">
        <v>1333</v>
      </c>
      <c r="P48" t="s">
        <v>1334</v>
      </c>
      <c r="Q48" t="s">
        <v>1332</v>
      </c>
      <c r="R48" t="s">
        <v>1335</v>
      </c>
      <c r="S48" t="s">
        <v>1336</v>
      </c>
      <c r="T48" t="s">
        <v>1337</v>
      </c>
      <c r="U48" t="s">
        <v>1331</v>
      </c>
      <c r="V48" t="s">
        <v>1323</v>
      </c>
      <c r="W48" t="s">
        <v>1338</v>
      </c>
      <c r="X48" t="s">
        <v>1339</v>
      </c>
      <c r="Y48" t="s">
        <v>1327</v>
      </c>
      <c r="Z48" t="s">
        <v>1328</v>
      </c>
      <c r="AA48" t="s">
        <v>1340</v>
      </c>
      <c r="AB48" t="s">
        <v>1323</v>
      </c>
      <c r="AC48" t="s">
        <v>1341</v>
      </c>
      <c r="AD48" t="s">
        <v>1342</v>
      </c>
      <c r="AE48" t="s">
        <v>1343</v>
      </c>
      <c r="AF48" t="s">
        <v>1344</v>
      </c>
      <c r="AG48" t="s">
        <v>1328</v>
      </c>
      <c r="AH48" t="s">
        <v>1332</v>
      </c>
      <c r="AI48" t="s">
        <v>1345</v>
      </c>
      <c r="AJ48" t="s">
        <v>1343</v>
      </c>
      <c r="AK48" t="s">
        <v>1332</v>
      </c>
      <c r="AL48" t="s">
        <v>1346</v>
      </c>
      <c r="AM48" t="s">
        <v>1327</v>
      </c>
      <c r="AN48" t="s">
        <v>1323</v>
      </c>
      <c r="AO48" t="s">
        <v>1347</v>
      </c>
      <c r="AP48" t="s">
        <v>1348</v>
      </c>
    </row>
    <row r="49" spans="1:42" x14ac:dyDescent="0.25">
      <c r="A49" t="s">
        <v>1349</v>
      </c>
      <c r="B49" t="s">
        <v>1350</v>
      </c>
      <c r="C49" t="s">
        <v>1351</v>
      </c>
      <c r="D49" t="s">
        <v>1352</v>
      </c>
      <c r="E49" t="s">
        <v>1353</v>
      </c>
      <c r="F49" t="s">
        <v>1354</v>
      </c>
      <c r="G49" t="s">
        <v>1355</v>
      </c>
      <c r="H49" t="s">
        <v>1356</v>
      </c>
      <c r="I49" t="s">
        <v>1357</v>
      </c>
      <c r="J49" t="s">
        <v>1358</v>
      </c>
      <c r="K49" t="s">
        <v>1359</v>
      </c>
      <c r="L49" t="s">
        <v>1360</v>
      </c>
      <c r="M49" t="s">
        <v>1360</v>
      </c>
      <c r="N49" t="s">
        <v>1361</v>
      </c>
      <c r="O49" t="s">
        <v>1362</v>
      </c>
      <c r="P49" t="s">
        <v>1363</v>
      </c>
      <c r="Q49" t="s">
        <v>1360</v>
      </c>
      <c r="R49" t="s">
        <v>1364</v>
      </c>
      <c r="S49" t="s">
        <v>1365</v>
      </c>
      <c r="T49" t="s">
        <v>1366</v>
      </c>
      <c r="U49" t="s">
        <v>1367</v>
      </c>
      <c r="V49" t="s">
        <v>1349</v>
      </c>
      <c r="W49" t="s">
        <v>1368</v>
      </c>
      <c r="X49" t="s">
        <v>1369</v>
      </c>
      <c r="Y49" t="s">
        <v>1370</v>
      </c>
      <c r="Z49" t="s">
        <v>1371</v>
      </c>
      <c r="AA49" t="s">
        <v>1372</v>
      </c>
      <c r="AB49" t="s">
        <v>1360</v>
      </c>
      <c r="AC49" t="s">
        <v>1373</v>
      </c>
      <c r="AD49" t="s">
        <v>1374</v>
      </c>
      <c r="AE49" t="s">
        <v>1375</v>
      </c>
      <c r="AF49" t="s">
        <v>1368</v>
      </c>
      <c r="AG49" t="s">
        <v>1376</v>
      </c>
      <c r="AH49" t="s">
        <v>1377</v>
      </c>
      <c r="AI49" t="s">
        <v>1358</v>
      </c>
      <c r="AJ49" t="s">
        <v>1368</v>
      </c>
      <c r="AK49" t="s">
        <v>1378</v>
      </c>
      <c r="AL49" t="s">
        <v>1379</v>
      </c>
      <c r="AM49" t="s">
        <v>1380</v>
      </c>
      <c r="AN49" t="s">
        <v>1381</v>
      </c>
      <c r="AO49" t="s">
        <v>1382</v>
      </c>
      <c r="AP49" t="s">
        <v>1383</v>
      </c>
    </row>
    <row r="50" spans="1:42" x14ac:dyDescent="0.25">
      <c r="A50" t="s">
        <v>1384</v>
      </c>
      <c r="B50" t="s">
        <v>1385</v>
      </c>
      <c r="C50" t="s">
        <v>1386</v>
      </c>
      <c r="D50" t="s">
        <v>1387</v>
      </c>
      <c r="E50" t="s">
        <v>1388</v>
      </c>
      <c r="F50" t="s">
        <v>1389</v>
      </c>
      <c r="G50" t="s">
        <v>1390</v>
      </c>
      <c r="H50" t="s">
        <v>1391</v>
      </c>
      <c r="I50" t="s">
        <v>1392</v>
      </c>
      <c r="J50" t="s">
        <v>1393</v>
      </c>
      <c r="K50" t="s">
        <v>1394</v>
      </c>
      <c r="L50" t="s">
        <v>1395</v>
      </c>
      <c r="M50" t="s">
        <v>1396</v>
      </c>
      <c r="N50" t="s">
        <v>1397</v>
      </c>
      <c r="O50" t="s">
        <v>1384</v>
      </c>
      <c r="P50" t="s">
        <v>1398</v>
      </c>
      <c r="Q50" t="s">
        <v>1399</v>
      </c>
      <c r="R50" t="s">
        <v>1400</v>
      </c>
      <c r="S50" t="s">
        <v>1401</v>
      </c>
      <c r="T50" t="s">
        <v>1402</v>
      </c>
      <c r="U50" t="s">
        <v>1403</v>
      </c>
      <c r="V50" t="s">
        <v>1384</v>
      </c>
      <c r="W50" t="s">
        <v>1404</v>
      </c>
      <c r="X50" t="s">
        <v>1405</v>
      </c>
      <c r="Y50" t="s">
        <v>1406</v>
      </c>
      <c r="Z50" t="s">
        <v>1407</v>
      </c>
      <c r="AA50" t="s">
        <v>1408</v>
      </c>
      <c r="AB50" t="s">
        <v>1409</v>
      </c>
      <c r="AC50" t="s">
        <v>1410</v>
      </c>
      <c r="AD50" t="s">
        <v>1411</v>
      </c>
      <c r="AE50" t="s">
        <v>1390</v>
      </c>
      <c r="AF50" t="s">
        <v>1412</v>
      </c>
      <c r="AG50" t="s">
        <v>1413</v>
      </c>
      <c r="AH50" t="s">
        <v>1414</v>
      </c>
      <c r="AI50" t="s">
        <v>1384</v>
      </c>
      <c r="AJ50" t="s">
        <v>1404</v>
      </c>
      <c r="AK50" t="s">
        <v>1409</v>
      </c>
      <c r="AL50" t="s">
        <v>1415</v>
      </c>
      <c r="AM50" t="s">
        <v>1388</v>
      </c>
      <c r="AN50" t="s">
        <v>1416</v>
      </c>
      <c r="AO50" t="s">
        <v>1417</v>
      </c>
      <c r="AP50" t="s">
        <v>1418</v>
      </c>
    </row>
    <row r="51" spans="1:42" x14ac:dyDescent="0.25">
      <c r="A51" t="s">
        <v>1419</v>
      </c>
      <c r="B51" t="s">
        <v>1420</v>
      </c>
      <c r="C51" t="s">
        <v>1421</v>
      </c>
      <c r="D51" t="s">
        <v>1422</v>
      </c>
      <c r="E51" t="s">
        <v>1423</v>
      </c>
      <c r="F51" t="s">
        <v>1424</v>
      </c>
      <c r="G51" t="s">
        <v>1425</v>
      </c>
      <c r="H51" t="s">
        <v>1426</v>
      </c>
      <c r="I51" t="s">
        <v>1427</v>
      </c>
      <c r="J51" t="s">
        <v>1428</v>
      </c>
      <c r="K51" t="s">
        <v>1429</v>
      </c>
      <c r="L51" t="s">
        <v>1430</v>
      </c>
      <c r="M51" t="s">
        <v>1431</v>
      </c>
      <c r="N51" t="s">
        <v>1419</v>
      </c>
      <c r="O51" t="s">
        <v>1432</v>
      </c>
      <c r="P51" t="s">
        <v>1433</v>
      </c>
      <c r="Q51" t="s">
        <v>1430</v>
      </c>
      <c r="R51" t="s">
        <v>1434</v>
      </c>
      <c r="S51" t="s">
        <v>1435</v>
      </c>
      <c r="T51" t="s">
        <v>1436</v>
      </c>
      <c r="U51" t="s">
        <v>1419</v>
      </c>
      <c r="V51" t="s">
        <v>1419</v>
      </c>
      <c r="W51" t="s">
        <v>1419</v>
      </c>
      <c r="X51" t="s">
        <v>1437</v>
      </c>
      <c r="Y51" t="s">
        <v>1428</v>
      </c>
      <c r="Z51" t="s">
        <v>1438</v>
      </c>
      <c r="AA51" t="s">
        <v>1439</v>
      </c>
      <c r="AB51" t="s">
        <v>1419</v>
      </c>
      <c r="AC51" t="s">
        <v>1440</v>
      </c>
      <c r="AD51" t="s">
        <v>1419</v>
      </c>
      <c r="AE51" t="s">
        <v>1441</v>
      </c>
      <c r="AF51" t="s">
        <v>1419</v>
      </c>
      <c r="AG51" t="s">
        <v>1442</v>
      </c>
      <c r="AH51" t="s">
        <v>1441</v>
      </c>
      <c r="AI51" t="s">
        <v>1443</v>
      </c>
      <c r="AJ51" t="s">
        <v>1419</v>
      </c>
      <c r="AK51" t="s">
        <v>1430</v>
      </c>
      <c r="AL51" t="s">
        <v>1444</v>
      </c>
      <c r="AM51" t="s">
        <v>1445</v>
      </c>
      <c r="AN51" t="s">
        <v>1446</v>
      </c>
      <c r="AO51" t="s">
        <v>1447</v>
      </c>
      <c r="AP51" t="s">
        <v>1448</v>
      </c>
    </row>
    <row r="52" spans="1:42" x14ac:dyDescent="0.25">
      <c r="A52" t="s">
        <v>1449</v>
      </c>
      <c r="B52" t="s">
        <v>1450</v>
      </c>
      <c r="C52" t="s">
        <v>1451</v>
      </c>
      <c r="D52" t="s">
        <v>1452</v>
      </c>
      <c r="E52" t="s">
        <v>1453</v>
      </c>
      <c r="F52" t="s">
        <v>1454</v>
      </c>
      <c r="G52" t="s">
        <v>1455</v>
      </c>
      <c r="H52" t="s">
        <v>1456</v>
      </c>
      <c r="I52" t="s">
        <v>1457</v>
      </c>
      <c r="J52" t="s">
        <v>1458</v>
      </c>
      <c r="K52" t="s">
        <v>1459</v>
      </c>
      <c r="L52" t="s">
        <v>1460</v>
      </c>
      <c r="M52" t="s">
        <v>1461</v>
      </c>
      <c r="N52" t="s">
        <v>1460</v>
      </c>
      <c r="O52" t="s">
        <v>1462</v>
      </c>
      <c r="P52" t="s">
        <v>1463</v>
      </c>
      <c r="Q52" t="s">
        <v>1464</v>
      </c>
      <c r="R52" t="s">
        <v>1465</v>
      </c>
      <c r="S52" t="s">
        <v>1466</v>
      </c>
      <c r="T52" t="s">
        <v>1467</v>
      </c>
      <c r="U52" t="s">
        <v>1449</v>
      </c>
      <c r="V52" t="s">
        <v>1449</v>
      </c>
      <c r="W52" t="s">
        <v>1468</v>
      </c>
      <c r="X52" t="s">
        <v>1469</v>
      </c>
      <c r="Y52" t="s">
        <v>1470</v>
      </c>
      <c r="Z52" t="s">
        <v>1471</v>
      </c>
      <c r="AA52" t="s">
        <v>1453</v>
      </c>
      <c r="AB52" t="s">
        <v>1460</v>
      </c>
      <c r="AC52" t="s">
        <v>1472</v>
      </c>
      <c r="AD52" t="s">
        <v>1473</v>
      </c>
      <c r="AE52" t="s">
        <v>1455</v>
      </c>
      <c r="AF52" t="s">
        <v>1474</v>
      </c>
      <c r="AG52" t="s">
        <v>1471</v>
      </c>
      <c r="AH52" t="s">
        <v>1459</v>
      </c>
      <c r="AI52" t="s">
        <v>1458</v>
      </c>
      <c r="AJ52" t="s">
        <v>1455</v>
      </c>
      <c r="AK52" t="s">
        <v>1460</v>
      </c>
      <c r="AL52" t="s">
        <v>1475</v>
      </c>
      <c r="AM52" t="s">
        <v>1453</v>
      </c>
      <c r="AN52" t="s">
        <v>1476</v>
      </c>
      <c r="AO52" t="s">
        <v>1477</v>
      </c>
      <c r="AP52" t="s">
        <v>1478</v>
      </c>
    </row>
    <row r="53" spans="1:42" x14ac:dyDescent="0.25">
      <c r="A53" t="s">
        <v>1479</v>
      </c>
      <c r="B53" t="s">
        <v>1480</v>
      </c>
      <c r="C53" t="s">
        <v>1481</v>
      </c>
      <c r="D53" t="s">
        <v>1482</v>
      </c>
      <c r="E53" t="s">
        <v>1483</v>
      </c>
      <c r="F53" t="s">
        <v>1484</v>
      </c>
      <c r="G53" t="s">
        <v>1485</v>
      </c>
      <c r="H53" t="s">
        <v>1486</v>
      </c>
      <c r="I53" t="s">
        <v>1486</v>
      </c>
      <c r="J53" t="s">
        <v>1483</v>
      </c>
      <c r="K53" t="s">
        <v>1487</v>
      </c>
      <c r="L53" t="s">
        <v>1488</v>
      </c>
      <c r="M53" t="s">
        <v>1489</v>
      </c>
      <c r="N53" t="s">
        <v>1490</v>
      </c>
      <c r="O53" t="s">
        <v>1491</v>
      </c>
      <c r="P53" t="s">
        <v>1492</v>
      </c>
      <c r="Q53" t="s">
        <v>1488</v>
      </c>
      <c r="R53" t="s">
        <v>1493</v>
      </c>
      <c r="S53" t="s">
        <v>1494</v>
      </c>
      <c r="T53" t="s">
        <v>1495</v>
      </c>
      <c r="U53" t="s">
        <v>1479</v>
      </c>
      <c r="V53" t="s">
        <v>1496</v>
      </c>
      <c r="W53" t="s">
        <v>1479</v>
      </c>
      <c r="X53" t="s">
        <v>1497</v>
      </c>
      <c r="Y53" t="s">
        <v>1498</v>
      </c>
      <c r="Z53" t="s">
        <v>1484</v>
      </c>
      <c r="AA53" t="s">
        <v>1499</v>
      </c>
      <c r="AB53" t="s">
        <v>1479</v>
      </c>
      <c r="AC53" t="s">
        <v>1481</v>
      </c>
      <c r="AD53" t="s">
        <v>1500</v>
      </c>
      <c r="AE53" t="s">
        <v>1485</v>
      </c>
      <c r="AF53" t="s">
        <v>1479</v>
      </c>
      <c r="AG53" t="s">
        <v>1484</v>
      </c>
      <c r="AH53" t="s">
        <v>1487</v>
      </c>
      <c r="AI53" t="s">
        <v>1501</v>
      </c>
      <c r="AJ53" t="s">
        <v>1502</v>
      </c>
      <c r="AK53" t="s">
        <v>1503</v>
      </c>
      <c r="AL53" t="s">
        <v>1504</v>
      </c>
      <c r="AM53" t="s">
        <v>1505</v>
      </c>
      <c r="AN53" t="s">
        <v>1479</v>
      </c>
      <c r="AO53" t="s">
        <v>1506</v>
      </c>
      <c r="AP53" t="s">
        <v>1507</v>
      </c>
    </row>
    <row r="54" spans="1:42" x14ac:dyDescent="0.25">
      <c r="A54" t="s">
        <v>1508</v>
      </c>
      <c r="B54" t="s">
        <v>1509</v>
      </c>
      <c r="C54" t="s">
        <v>1510</v>
      </c>
      <c r="D54" t="s">
        <v>1511</v>
      </c>
      <c r="E54" t="s">
        <v>1512</v>
      </c>
      <c r="F54" t="s">
        <v>1513</v>
      </c>
      <c r="G54" t="s">
        <v>1514</v>
      </c>
      <c r="H54" t="s">
        <v>1515</v>
      </c>
      <c r="I54" t="s">
        <v>1515</v>
      </c>
      <c r="J54" t="s">
        <v>1516</v>
      </c>
      <c r="K54" t="s">
        <v>1517</v>
      </c>
      <c r="L54" t="s">
        <v>1518</v>
      </c>
      <c r="M54" t="s">
        <v>1519</v>
      </c>
      <c r="N54" t="s">
        <v>1518</v>
      </c>
      <c r="O54" t="s">
        <v>1520</v>
      </c>
      <c r="P54" t="s">
        <v>1521</v>
      </c>
      <c r="Q54" t="s">
        <v>1518</v>
      </c>
      <c r="R54" t="s">
        <v>1522</v>
      </c>
      <c r="S54" t="s">
        <v>1523</v>
      </c>
      <c r="T54" t="s">
        <v>1524</v>
      </c>
      <c r="U54" t="s">
        <v>1525</v>
      </c>
      <c r="V54" t="s">
        <v>1526</v>
      </c>
      <c r="W54" t="s">
        <v>1527</v>
      </c>
      <c r="X54" t="s">
        <v>1528</v>
      </c>
      <c r="Y54" t="s">
        <v>1529</v>
      </c>
      <c r="Z54" t="s">
        <v>1530</v>
      </c>
      <c r="AA54" t="s">
        <v>1531</v>
      </c>
      <c r="AB54" t="s">
        <v>1532</v>
      </c>
      <c r="AC54" t="s">
        <v>1533</v>
      </c>
      <c r="AD54" t="s">
        <v>1534</v>
      </c>
      <c r="AE54" t="s">
        <v>1535</v>
      </c>
      <c r="AF54" t="s">
        <v>1532</v>
      </c>
      <c r="AG54" t="s">
        <v>1530</v>
      </c>
      <c r="AH54" t="s">
        <v>1536</v>
      </c>
      <c r="AI54" t="s">
        <v>1537</v>
      </c>
      <c r="AJ54" t="s">
        <v>1538</v>
      </c>
      <c r="AK54" t="s">
        <v>1518</v>
      </c>
      <c r="AL54" t="s">
        <v>1539</v>
      </c>
      <c r="AM54" t="s">
        <v>1540</v>
      </c>
      <c r="AN54" t="s">
        <v>1541</v>
      </c>
      <c r="AO54" t="s">
        <v>1542</v>
      </c>
      <c r="AP54" t="s">
        <v>1543</v>
      </c>
    </row>
    <row r="55" spans="1:42" x14ac:dyDescent="0.25">
      <c r="A55" t="s">
        <v>1544</v>
      </c>
      <c r="B55" t="s">
        <v>1545</v>
      </c>
      <c r="C55" t="s">
        <v>1546</v>
      </c>
      <c r="D55" t="s">
        <v>1547</v>
      </c>
      <c r="E55" t="s">
        <v>1544</v>
      </c>
      <c r="F55" t="s">
        <v>1544</v>
      </c>
      <c r="G55" t="s">
        <v>1544</v>
      </c>
      <c r="H55" t="s">
        <v>1548</v>
      </c>
      <c r="I55" t="s">
        <v>1549</v>
      </c>
      <c r="J55" t="s">
        <v>1550</v>
      </c>
      <c r="K55" t="s">
        <v>1550</v>
      </c>
      <c r="L55" t="s">
        <v>1544</v>
      </c>
      <c r="M55" t="s">
        <v>1544</v>
      </c>
      <c r="N55" t="s">
        <v>1551</v>
      </c>
      <c r="O55" t="s">
        <v>1544</v>
      </c>
      <c r="P55" t="s">
        <v>1552</v>
      </c>
      <c r="Q55" t="s">
        <v>1544</v>
      </c>
      <c r="R55" t="s">
        <v>1553</v>
      </c>
      <c r="S55" t="s">
        <v>1554</v>
      </c>
      <c r="T55" t="s">
        <v>1544</v>
      </c>
      <c r="U55" t="s">
        <v>1551</v>
      </c>
      <c r="V55" t="s">
        <v>1544</v>
      </c>
      <c r="W55" t="s">
        <v>1555</v>
      </c>
      <c r="X55" t="s">
        <v>1556</v>
      </c>
      <c r="Y55" t="s">
        <v>1551</v>
      </c>
      <c r="Z55" t="s">
        <v>1557</v>
      </c>
      <c r="AA55" t="s">
        <v>1544</v>
      </c>
      <c r="AB55" t="s">
        <v>1544</v>
      </c>
      <c r="AC55" t="s">
        <v>1558</v>
      </c>
      <c r="AD55" t="s">
        <v>1559</v>
      </c>
      <c r="AE55" t="s">
        <v>1544</v>
      </c>
      <c r="AF55" t="s">
        <v>1544</v>
      </c>
      <c r="AG55" t="s">
        <v>1560</v>
      </c>
      <c r="AH55" t="s">
        <v>1550</v>
      </c>
      <c r="AI55" t="s">
        <v>1544</v>
      </c>
      <c r="AJ55" t="s">
        <v>1544</v>
      </c>
      <c r="AK55" t="s">
        <v>1561</v>
      </c>
      <c r="AL55" t="s">
        <v>1562</v>
      </c>
      <c r="AM55" t="s">
        <v>1550</v>
      </c>
      <c r="AN55" t="s">
        <v>1544</v>
      </c>
      <c r="AO55" t="s">
        <v>1563</v>
      </c>
      <c r="AP55" t="s">
        <v>1564</v>
      </c>
    </row>
    <row r="56" spans="1:42" x14ac:dyDescent="0.25">
      <c r="A56" t="s">
        <v>1565</v>
      </c>
      <c r="B56" t="s">
        <v>1566</v>
      </c>
      <c r="C56" t="s">
        <v>1567</v>
      </c>
      <c r="D56" t="s">
        <v>1568</v>
      </c>
      <c r="E56" t="s">
        <v>1569</v>
      </c>
      <c r="F56" t="s">
        <v>1570</v>
      </c>
      <c r="G56" t="s">
        <v>1571</v>
      </c>
      <c r="H56" t="s">
        <v>1572</v>
      </c>
      <c r="I56" t="s">
        <v>1573</v>
      </c>
      <c r="J56" t="s">
        <v>1574</v>
      </c>
      <c r="K56" t="s">
        <v>1575</v>
      </c>
      <c r="L56" t="s">
        <v>1576</v>
      </c>
      <c r="M56" t="s">
        <v>1577</v>
      </c>
      <c r="N56" t="s">
        <v>1578</v>
      </c>
      <c r="O56" t="s">
        <v>1579</v>
      </c>
      <c r="P56" t="s">
        <v>1580</v>
      </c>
      <c r="Q56" t="s">
        <v>1581</v>
      </c>
      <c r="R56" t="s">
        <v>1582</v>
      </c>
      <c r="S56" t="s">
        <v>1583</v>
      </c>
      <c r="T56" t="s">
        <v>1584</v>
      </c>
      <c r="U56" t="s">
        <v>1585</v>
      </c>
      <c r="V56" t="s">
        <v>1586</v>
      </c>
      <c r="W56" t="s">
        <v>1587</v>
      </c>
      <c r="X56" t="s">
        <v>1588</v>
      </c>
      <c r="Y56" t="s">
        <v>1589</v>
      </c>
      <c r="Z56" t="s">
        <v>1590</v>
      </c>
      <c r="AA56" t="s">
        <v>1591</v>
      </c>
      <c r="AB56" t="s">
        <v>1576</v>
      </c>
      <c r="AC56" t="s">
        <v>1592</v>
      </c>
      <c r="AD56" t="s">
        <v>1593</v>
      </c>
      <c r="AE56" t="s">
        <v>1594</v>
      </c>
      <c r="AF56" t="s">
        <v>1587</v>
      </c>
      <c r="AG56" t="s">
        <v>1595</v>
      </c>
      <c r="AH56" t="s">
        <v>1596</v>
      </c>
      <c r="AI56" t="s">
        <v>1597</v>
      </c>
      <c r="AJ56" t="s">
        <v>1598</v>
      </c>
      <c r="AK56" t="s">
        <v>1576</v>
      </c>
      <c r="AL56" t="s">
        <v>1599</v>
      </c>
      <c r="AM56" t="s">
        <v>1600</v>
      </c>
      <c r="AN56" t="s">
        <v>1601</v>
      </c>
      <c r="AO56" t="s">
        <v>1602</v>
      </c>
      <c r="AP56" t="s">
        <v>1603</v>
      </c>
    </row>
    <row r="57" spans="1:42" x14ac:dyDescent="0.25">
      <c r="A57" t="s">
        <v>1604</v>
      </c>
      <c r="B57" t="s">
        <v>1605</v>
      </c>
      <c r="C57" t="s">
        <v>1606</v>
      </c>
      <c r="D57" t="s">
        <v>1607</v>
      </c>
      <c r="E57" t="s">
        <v>1608</v>
      </c>
      <c r="F57" t="s">
        <v>1609</v>
      </c>
      <c r="G57" t="s">
        <v>1610</v>
      </c>
      <c r="H57" t="s">
        <v>1611</v>
      </c>
      <c r="I57" t="s">
        <v>1611</v>
      </c>
      <c r="J57" t="s">
        <v>1604</v>
      </c>
      <c r="K57" t="s">
        <v>1612</v>
      </c>
      <c r="L57" t="s">
        <v>1604</v>
      </c>
      <c r="M57" t="s">
        <v>1604</v>
      </c>
      <c r="N57" t="s">
        <v>1604</v>
      </c>
      <c r="O57" t="s">
        <v>1613</v>
      </c>
      <c r="P57" t="s">
        <v>1614</v>
      </c>
      <c r="Q57" t="s">
        <v>1604</v>
      </c>
      <c r="R57" t="s">
        <v>1615</v>
      </c>
      <c r="S57" t="s">
        <v>1616</v>
      </c>
      <c r="T57" t="s">
        <v>1617</v>
      </c>
      <c r="U57" t="s">
        <v>1618</v>
      </c>
      <c r="V57" t="s">
        <v>1604</v>
      </c>
      <c r="W57" t="s">
        <v>1619</v>
      </c>
      <c r="X57" t="s">
        <v>1620</v>
      </c>
      <c r="Y57" t="s">
        <v>1621</v>
      </c>
      <c r="Z57" t="s">
        <v>1622</v>
      </c>
      <c r="AA57" t="s">
        <v>1623</v>
      </c>
      <c r="AB57" t="s">
        <v>1604</v>
      </c>
      <c r="AC57" t="s">
        <v>1624</v>
      </c>
      <c r="AD57" t="s">
        <v>1605</v>
      </c>
      <c r="AE57" t="s">
        <v>1625</v>
      </c>
      <c r="AF57" t="s">
        <v>1605</v>
      </c>
      <c r="AG57" t="s">
        <v>1604</v>
      </c>
      <c r="AH57" t="s">
        <v>1612</v>
      </c>
      <c r="AI57" t="s">
        <v>1626</v>
      </c>
      <c r="AJ57" t="s">
        <v>1627</v>
      </c>
      <c r="AK57" t="s">
        <v>1604</v>
      </c>
      <c r="AL57" t="s">
        <v>1628</v>
      </c>
      <c r="AM57" t="s">
        <v>1629</v>
      </c>
      <c r="AN57" t="s">
        <v>1630</v>
      </c>
      <c r="AO57" t="s">
        <v>1631</v>
      </c>
      <c r="AP57" t="s">
        <v>1632</v>
      </c>
    </row>
    <row r="58" spans="1:42" x14ac:dyDescent="0.25">
      <c r="A58" t="s">
        <v>1633</v>
      </c>
      <c r="B58" t="s">
        <v>1634</v>
      </c>
      <c r="C58" t="s">
        <v>1635</v>
      </c>
      <c r="D58" t="s">
        <v>1636</v>
      </c>
      <c r="E58" t="s">
        <v>1637</v>
      </c>
      <c r="F58" t="s">
        <v>1638</v>
      </c>
      <c r="G58" t="s">
        <v>1639</v>
      </c>
      <c r="H58" t="s">
        <v>1640</v>
      </c>
      <c r="I58" t="s">
        <v>1641</v>
      </c>
      <c r="J58" t="s">
        <v>1642</v>
      </c>
      <c r="K58" t="s">
        <v>1643</v>
      </c>
      <c r="L58" t="s">
        <v>1644</v>
      </c>
      <c r="M58" t="s">
        <v>1645</v>
      </c>
      <c r="N58" t="s">
        <v>1646</v>
      </c>
      <c r="O58" t="s">
        <v>1647</v>
      </c>
      <c r="P58" t="s">
        <v>1648</v>
      </c>
      <c r="Q58" t="s">
        <v>1644</v>
      </c>
      <c r="R58" t="s">
        <v>1649</v>
      </c>
      <c r="S58" t="s">
        <v>1650</v>
      </c>
      <c r="T58" t="s">
        <v>1633</v>
      </c>
      <c r="U58" t="s">
        <v>1646</v>
      </c>
      <c r="V58" t="s">
        <v>1633</v>
      </c>
      <c r="W58" t="s">
        <v>1651</v>
      </c>
      <c r="X58" t="s">
        <v>1652</v>
      </c>
      <c r="Y58" t="s">
        <v>1642</v>
      </c>
      <c r="Z58" t="s">
        <v>1653</v>
      </c>
      <c r="AA58" t="s">
        <v>1654</v>
      </c>
      <c r="AB58" t="s">
        <v>1646</v>
      </c>
      <c r="AC58" t="s">
        <v>1655</v>
      </c>
      <c r="AD58" t="s">
        <v>1646</v>
      </c>
      <c r="AE58" t="s">
        <v>1656</v>
      </c>
      <c r="AF58" t="s">
        <v>1646</v>
      </c>
      <c r="AG58" t="s">
        <v>1653</v>
      </c>
      <c r="AH58" t="s">
        <v>1657</v>
      </c>
      <c r="AI58" t="s">
        <v>1642</v>
      </c>
      <c r="AJ58" t="s">
        <v>1656</v>
      </c>
      <c r="AK58" t="s">
        <v>1644</v>
      </c>
      <c r="AL58" t="s">
        <v>1658</v>
      </c>
      <c r="AM58" t="s">
        <v>1637</v>
      </c>
      <c r="AN58" t="s">
        <v>1659</v>
      </c>
      <c r="AO58" t="s">
        <v>1660</v>
      </c>
      <c r="AP58" t="s">
        <v>1661</v>
      </c>
    </row>
    <row r="59" spans="1:42" x14ac:dyDescent="0.25">
      <c r="A59" t="s">
        <v>1662</v>
      </c>
      <c r="B59" t="s">
        <v>1663</v>
      </c>
      <c r="C59" t="s">
        <v>1664</v>
      </c>
      <c r="D59" t="s">
        <v>1665</v>
      </c>
      <c r="E59" t="s">
        <v>1663</v>
      </c>
      <c r="F59" t="s">
        <v>1666</v>
      </c>
      <c r="G59" t="s">
        <v>1667</v>
      </c>
      <c r="H59" t="s">
        <v>1668</v>
      </c>
      <c r="I59" t="s">
        <v>1668</v>
      </c>
      <c r="J59" t="s">
        <v>1663</v>
      </c>
      <c r="K59" t="s">
        <v>1663</v>
      </c>
      <c r="L59" t="s">
        <v>1662</v>
      </c>
      <c r="M59" t="s">
        <v>1662</v>
      </c>
      <c r="N59" t="s">
        <v>1662</v>
      </c>
      <c r="O59" t="s">
        <v>1662</v>
      </c>
      <c r="P59" t="s">
        <v>1669</v>
      </c>
      <c r="Q59" t="s">
        <v>1663</v>
      </c>
      <c r="R59" t="s">
        <v>1670</v>
      </c>
      <c r="S59" t="s">
        <v>1671</v>
      </c>
      <c r="T59" t="s">
        <v>1663</v>
      </c>
      <c r="U59" t="s">
        <v>1663</v>
      </c>
      <c r="V59" t="s">
        <v>1663</v>
      </c>
      <c r="W59" t="s">
        <v>1662</v>
      </c>
      <c r="X59" t="s">
        <v>1672</v>
      </c>
      <c r="Y59" t="s">
        <v>1663</v>
      </c>
      <c r="Z59" t="s">
        <v>1666</v>
      </c>
      <c r="AA59" t="s">
        <v>1663</v>
      </c>
      <c r="AB59" t="s">
        <v>1662</v>
      </c>
      <c r="AC59" t="s">
        <v>1673</v>
      </c>
      <c r="AD59" t="s">
        <v>1663</v>
      </c>
      <c r="AE59" t="s">
        <v>1674</v>
      </c>
      <c r="AF59" t="s">
        <v>1662</v>
      </c>
      <c r="AG59" t="s">
        <v>1666</v>
      </c>
      <c r="AH59" t="s">
        <v>1663</v>
      </c>
      <c r="AI59" t="s">
        <v>1663</v>
      </c>
      <c r="AJ59" t="s">
        <v>1674</v>
      </c>
      <c r="AK59" t="s">
        <v>1662</v>
      </c>
      <c r="AL59" t="s">
        <v>1675</v>
      </c>
      <c r="AM59" t="s">
        <v>1663</v>
      </c>
      <c r="AN59" t="s">
        <v>1662</v>
      </c>
      <c r="AO59" t="s">
        <v>1666</v>
      </c>
      <c r="AP59" t="s">
        <v>1676</v>
      </c>
    </row>
    <row r="60" spans="1:42" x14ac:dyDescent="0.25">
      <c r="A60" t="s">
        <v>1677</v>
      </c>
      <c r="B60" t="s">
        <v>1678</v>
      </c>
      <c r="C60" t="s">
        <v>1679</v>
      </c>
      <c r="D60" t="s">
        <v>1680</v>
      </c>
      <c r="E60" t="s">
        <v>1681</v>
      </c>
      <c r="F60" t="s">
        <v>1682</v>
      </c>
      <c r="G60" t="s">
        <v>1683</v>
      </c>
      <c r="H60" t="s">
        <v>1684</v>
      </c>
      <c r="I60" t="s">
        <v>1684</v>
      </c>
      <c r="J60" t="s">
        <v>1685</v>
      </c>
      <c r="K60" t="s">
        <v>1685</v>
      </c>
      <c r="L60" t="s">
        <v>1686</v>
      </c>
      <c r="M60" t="s">
        <v>1686</v>
      </c>
      <c r="N60" t="s">
        <v>1686</v>
      </c>
      <c r="O60" t="s">
        <v>1687</v>
      </c>
      <c r="P60" t="s">
        <v>1688</v>
      </c>
      <c r="Q60" t="s">
        <v>1686</v>
      </c>
      <c r="R60" t="s">
        <v>1689</v>
      </c>
      <c r="S60" t="s">
        <v>1690</v>
      </c>
      <c r="T60" t="s">
        <v>1691</v>
      </c>
      <c r="U60" t="s">
        <v>1685</v>
      </c>
      <c r="V60" t="s">
        <v>1691</v>
      </c>
      <c r="W60" t="s">
        <v>1692</v>
      </c>
      <c r="X60" t="s">
        <v>1693</v>
      </c>
      <c r="Y60" t="s">
        <v>1694</v>
      </c>
      <c r="Z60" t="s">
        <v>1682</v>
      </c>
      <c r="AA60" t="s">
        <v>1695</v>
      </c>
      <c r="AB60" t="s">
        <v>1686</v>
      </c>
      <c r="AC60" t="s">
        <v>1696</v>
      </c>
      <c r="AD60" t="s">
        <v>1685</v>
      </c>
      <c r="AE60" t="s">
        <v>1697</v>
      </c>
      <c r="AF60" t="s">
        <v>1687</v>
      </c>
      <c r="AG60" t="s">
        <v>1682</v>
      </c>
      <c r="AH60" t="s">
        <v>1685</v>
      </c>
      <c r="AI60" t="s">
        <v>1685</v>
      </c>
      <c r="AJ60" t="s">
        <v>1698</v>
      </c>
      <c r="AK60" t="s">
        <v>1699</v>
      </c>
      <c r="AL60" t="s">
        <v>1700</v>
      </c>
      <c r="AM60" t="s">
        <v>1701</v>
      </c>
      <c r="AN60" t="s">
        <v>1677</v>
      </c>
      <c r="AO60" t="s">
        <v>1702</v>
      </c>
      <c r="AP60" t="s">
        <v>1696</v>
      </c>
    </row>
    <row r="61" spans="1:42" x14ac:dyDescent="0.25">
      <c r="A61" t="s">
        <v>1703</v>
      </c>
      <c r="B61" t="s">
        <v>1704</v>
      </c>
      <c r="C61" t="s">
        <v>1705</v>
      </c>
      <c r="D61" t="s">
        <v>1706</v>
      </c>
      <c r="E61" t="s">
        <v>1707</v>
      </c>
      <c r="F61" t="s">
        <v>1708</v>
      </c>
      <c r="G61" t="s">
        <v>1709</v>
      </c>
      <c r="H61" t="s">
        <v>1710</v>
      </c>
      <c r="I61" t="s">
        <v>1711</v>
      </c>
      <c r="J61" t="s">
        <v>1712</v>
      </c>
      <c r="K61" t="s">
        <v>1713</v>
      </c>
      <c r="L61" t="s">
        <v>1714</v>
      </c>
      <c r="M61" t="s">
        <v>1715</v>
      </c>
      <c r="N61" t="s">
        <v>1716</v>
      </c>
      <c r="O61" t="s">
        <v>1717</v>
      </c>
      <c r="P61" t="s">
        <v>1718</v>
      </c>
      <c r="Q61" t="s">
        <v>1714</v>
      </c>
      <c r="R61" t="s">
        <v>1719</v>
      </c>
      <c r="S61" t="s">
        <v>1720</v>
      </c>
      <c r="T61" t="s">
        <v>1721</v>
      </c>
      <c r="U61" t="s">
        <v>1722</v>
      </c>
      <c r="V61" t="s">
        <v>1703</v>
      </c>
      <c r="W61" t="s">
        <v>1723</v>
      </c>
      <c r="X61" t="s">
        <v>1724</v>
      </c>
      <c r="Y61" t="s">
        <v>1725</v>
      </c>
      <c r="Z61" t="s">
        <v>1726</v>
      </c>
      <c r="AA61" t="s">
        <v>1727</v>
      </c>
      <c r="AB61" t="s">
        <v>1716</v>
      </c>
      <c r="AC61" t="s">
        <v>1728</v>
      </c>
      <c r="AD61" t="s">
        <v>1729</v>
      </c>
      <c r="AE61" t="s">
        <v>1730</v>
      </c>
      <c r="AF61" t="s">
        <v>1731</v>
      </c>
      <c r="AG61" t="s">
        <v>1726</v>
      </c>
      <c r="AH61" t="s">
        <v>1732</v>
      </c>
      <c r="AI61" t="s">
        <v>1733</v>
      </c>
      <c r="AJ61" t="s">
        <v>1734</v>
      </c>
      <c r="AK61" t="s">
        <v>1714</v>
      </c>
      <c r="AL61" t="s">
        <v>1735</v>
      </c>
      <c r="AM61" t="s">
        <v>1736</v>
      </c>
      <c r="AN61" t="s">
        <v>1703</v>
      </c>
      <c r="AO61" t="s">
        <v>1737</v>
      </c>
      <c r="AP61" t="s">
        <v>1738</v>
      </c>
    </row>
    <row r="62" spans="1:42" x14ac:dyDescent="0.25">
      <c r="A62" t="s">
        <v>1739</v>
      </c>
      <c r="B62" t="s">
        <v>1740</v>
      </c>
      <c r="C62" t="s">
        <v>1741</v>
      </c>
      <c r="D62" t="s">
        <v>1742</v>
      </c>
      <c r="E62" t="s">
        <v>1743</v>
      </c>
      <c r="F62" t="s">
        <v>1744</v>
      </c>
      <c r="G62" t="s">
        <v>1745</v>
      </c>
      <c r="H62" t="s">
        <v>1746</v>
      </c>
      <c r="I62" t="s">
        <v>1746</v>
      </c>
      <c r="J62" t="s">
        <v>1739</v>
      </c>
      <c r="K62" t="s">
        <v>1747</v>
      </c>
      <c r="L62" t="s">
        <v>1748</v>
      </c>
      <c r="M62" t="s">
        <v>1749</v>
      </c>
      <c r="N62" t="s">
        <v>1750</v>
      </c>
      <c r="O62" t="s">
        <v>1751</v>
      </c>
      <c r="P62" t="s">
        <v>1752</v>
      </c>
      <c r="Q62" t="s">
        <v>1748</v>
      </c>
      <c r="R62" t="s">
        <v>1753</v>
      </c>
      <c r="S62" t="s">
        <v>1754</v>
      </c>
      <c r="T62" t="s">
        <v>1755</v>
      </c>
      <c r="U62" t="s">
        <v>1739</v>
      </c>
      <c r="V62" t="s">
        <v>1756</v>
      </c>
      <c r="W62" t="s">
        <v>1757</v>
      </c>
      <c r="X62" t="s">
        <v>1758</v>
      </c>
      <c r="Y62" t="s">
        <v>1759</v>
      </c>
      <c r="Z62" t="s">
        <v>1760</v>
      </c>
      <c r="AA62" t="s">
        <v>1761</v>
      </c>
      <c r="AB62" t="s">
        <v>1745</v>
      </c>
      <c r="AC62" t="s">
        <v>1762</v>
      </c>
      <c r="AD62" t="s">
        <v>1763</v>
      </c>
      <c r="AE62" t="s">
        <v>1745</v>
      </c>
      <c r="AF62" t="s">
        <v>1764</v>
      </c>
      <c r="AG62" t="s">
        <v>1739</v>
      </c>
      <c r="AH62" t="s">
        <v>1755</v>
      </c>
      <c r="AI62" t="s">
        <v>1759</v>
      </c>
      <c r="AJ62" t="s">
        <v>1745</v>
      </c>
      <c r="AK62" t="s">
        <v>1748</v>
      </c>
      <c r="AL62" t="s">
        <v>1765</v>
      </c>
      <c r="AM62" t="s">
        <v>1766</v>
      </c>
      <c r="AN62" t="s">
        <v>1767</v>
      </c>
      <c r="AO62" t="s">
        <v>1768</v>
      </c>
      <c r="AP62" t="s">
        <v>1769</v>
      </c>
    </row>
    <row r="63" spans="1:42" x14ac:dyDescent="0.25">
      <c r="A63" t="s">
        <v>1770</v>
      </c>
      <c r="B63" t="s">
        <v>1770</v>
      </c>
      <c r="C63" t="s">
        <v>1771</v>
      </c>
      <c r="D63" t="s">
        <v>1772</v>
      </c>
      <c r="E63" t="s">
        <v>1773</v>
      </c>
      <c r="F63" t="s">
        <v>1774</v>
      </c>
      <c r="G63" t="s">
        <v>1775</v>
      </c>
      <c r="H63" t="s">
        <v>1776</v>
      </c>
      <c r="I63" t="s">
        <v>1777</v>
      </c>
      <c r="J63" t="s">
        <v>1778</v>
      </c>
      <c r="K63" t="s">
        <v>1779</v>
      </c>
      <c r="L63" t="s">
        <v>1780</v>
      </c>
      <c r="M63" t="s">
        <v>1781</v>
      </c>
      <c r="N63" t="s">
        <v>1770</v>
      </c>
      <c r="O63" t="s">
        <v>1782</v>
      </c>
      <c r="P63" t="s">
        <v>1783</v>
      </c>
      <c r="Q63" t="s">
        <v>1780</v>
      </c>
      <c r="R63" t="s">
        <v>1784</v>
      </c>
      <c r="S63" t="s">
        <v>1785</v>
      </c>
      <c r="T63" t="s">
        <v>1786</v>
      </c>
      <c r="U63" t="s">
        <v>1770</v>
      </c>
      <c r="V63" t="s">
        <v>1787</v>
      </c>
      <c r="W63" t="s">
        <v>1770</v>
      </c>
      <c r="X63" t="s">
        <v>1788</v>
      </c>
      <c r="Y63" t="s">
        <v>1789</v>
      </c>
      <c r="Z63" t="s">
        <v>1790</v>
      </c>
      <c r="AA63" t="s">
        <v>1791</v>
      </c>
      <c r="AB63" t="s">
        <v>1770</v>
      </c>
      <c r="AC63" t="s">
        <v>1792</v>
      </c>
      <c r="AD63" t="s">
        <v>1770</v>
      </c>
      <c r="AE63" t="s">
        <v>1793</v>
      </c>
      <c r="AF63" t="s">
        <v>1770</v>
      </c>
      <c r="AG63" t="s">
        <v>1790</v>
      </c>
      <c r="AH63" t="s">
        <v>1779</v>
      </c>
      <c r="AI63" t="s">
        <v>1778</v>
      </c>
      <c r="AJ63" t="s">
        <v>1770</v>
      </c>
      <c r="AK63" t="s">
        <v>1780</v>
      </c>
      <c r="AL63" t="s">
        <v>1794</v>
      </c>
      <c r="AM63" t="s">
        <v>1795</v>
      </c>
      <c r="AN63" t="s">
        <v>1770</v>
      </c>
      <c r="AO63" t="s">
        <v>1796</v>
      </c>
      <c r="AP63" t="s">
        <v>1797</v>
      </c>
    </row>
    <row r="64" spans="1:42" x14ac:dyDescent="0.25">
      <c r="A64" t="s">
        <v>1798</v>
      </c>
      <c r="B64" t="s">
        <v>1799</v>
      </c>
      <c r="C64" t="s">
        <v>1800</v>
      </c>
      <c r="D64" t="s">
        <v>1801</v>
      </c>
      <c r="E64" t="s">
        <v>1802</v>
      </c>
      <c r="F64" t="s">
        <v>1803</v>
      </c>
      <c r="G64" t="s">
        <v>1804</v>
      </c>
      <c r="H64" t="s">
        <v>1805</v>
      </c>
      <c r="I64" t="s">
        <v>1805</v>
      </c>
      <c r="J64" t="s">
        <v>1806</v>
      </c>
      <c r="K64" t="s">
        <v>1807</v>
      </c>
      <c r="L64" t="s">
        <v>1808</v>
      </c>
      <c r="M64" t="s">
        <v>1809</v>
      </c>
      <c r="N64" t="s">
        <v>1810</v>
      </c>
      <c r="O64" t="s">
        <v>1811</v>
      </c>
      <c r="P64" t="s">
        <v>1798</v>
      </c>
      <c r="Q64" t="s">
        <v>1808</v>
      </c>
      <c r="R64" t="s">
        <v>1812</v>
      </c>
      <c r="S64" t="s">
        <v>1813</v>
      </c>
      <c r="T64" t="s">
        <v>1814</v>
      </c>
      <c r="U64" t="s">
        <v>1815</v>
      </c>
      <c r="V64" t="s">
        <v>1816</v>
      </c>
      <c r="W64" t="s">
        <v>1817</v>
      </c>
      <c r="X64" t="s">
        <v>1818</v>
      </c>
      <c r="Y64" t="s">
        <v>1819</v>
      </c>
      <c r="Z64" t="s">
        <v>1820</v>
      </c>
      <c r="AA64" t="s">
        <v>1821</v>
      </c>
      <c r="AB64" t="s">
        <v>1822</v>
      </c>
      <c r="AC64" t="s">
        <v>1823</v>
      </c>
      <c r="AD64" t="s">
        <v>1824</v>
      </c>
      <c r="AE64" t="s">
        <v>1825</v>
      </c>
      <c r="AF64" t="s">
        <v>1826</v>
      </c>
      <c r="AG64" t="s">
        <v>1827</v>
      </c>
      <c r="AH64" t="s">
        <v>1828</v>
      </c>
      <c r="AI64" t="s">
        <v>1829</v>
      </c>
      <c r="AJ64" t="s">
        <v>1830</v>
      </c>
      <c r="AK64" t="s">
        <v>1808</v>
      </c>
      <c r="AL64" t="s">
        <v>1831</v>
      </c>
      <c r="AM64" t="s">
        <v>1832</v>
      </c>
      <c r="AN64" t="s">
        <v>1833</v>
      </c>
      <c r="AO64" t="s">
        <v>1834</v>
      </c>
      <c r="AP64" t="s">
        <v>1835</v>
      </c>
    </row>
    <row r="65" spans="1:42" x14ac:dyDescent="0.25">
      <c r="A65" t="s">
        <v>1836</v>
      </c>
      <c r="B65" t="s">
        <v>1837</v>
      </c>
      <c r="C65" t="s">
        <v>1838</v>
      </c>
      <c r="D65" t="s">
        <v>1839</v>
      </c>
      <c r="E65" t="s">
        <v>1840</v>
      </c>
      <c r="F65" t="s">
        <v>1841</v>
      </c>
      <c r="G65" t="s">
        <v>1842</v>
      </c>
      <c r="H65" t="s">
        <v>1843</v>
      </c>
      <c r="I65" t="s">
        <v>1844</v>
      </c>
      <c r="J65" t="s">
        <v>1837</v>
      </c>
      <c r="K65" t="s">
        <v>1837</v>
      </c>
      <c r="L65" t="s">
        <v>1837</v>
      </c>
      <c r="M65" t="s">
        <v>1845</v>
      </c>
      <c r="N65" t="s">
        <v>1846</v>
      </c>
      <c r="O65" t="s">
        <v>1846</v>
      </c>
      <c r="P65" t="s">
        <v>1847</v>
      </c>
      <c r="Q65" t="s">
        <v>1837</v>
      </c>
      <c r="R65" t="s">
        <v>1848</v>
      </c>
      <c r="S65" t="s">
        <v>1849</v>
      </c>
      <c r="T65" t="s">
        <v>1837</v>
      </c>
      <c r="U65" t="s">
        <v>1837</v>
      </c>
      <c r="V65" t="s">
        <v>1850</v>
      </c>
      <c r="W65" t="s">
        <v>1842</v>
      </c>
      <c r="X65" t="s">
        <v>1851</v>
      </c>
      <c r="Y65" t="s">
        <v>1852</v>
      </c>
      <c r="Z65" t="s">
        <v>1841</v>
      </c>
      <c r="AA65" t="s">
        <v>1837</v>
      </c>
      <c r="AB65" t="s">
        <v>1837</v>
      </c>
      <c r="AC65" t="s">
        <v>1853</v>
      </c>
      <c r="AD65" t="s">
        <v>1837</v>
      </c>
      <c r="AE65" t="s">
        <v>1854</v>
      </c>
      <c r="AF65" t="s">
        <v>1842</v>
      </c>
      <c r="AG65" t="s">
        <v>1841</v>
      </c>
      <c r="AH65" t="s">
        <v>1837</v>
      </c>
      <c r="AI65" t="s">
        <v>1837</v>
      </c>
      <c r="AJ65" t="s">
        <v>1855</v>
      </c>
      <c r="AK65" t="s">
        <v>1837</v>
      </c>
      <c r="AL65" t="s">
        <v>1856</v>
      </c>
      <c r="AM65" t="s">
        <v>1837</v>
      </c>
      <c r="AN65" t="s">
        <v>1836</v>
      </c>
      <c r="AO65" t="s">
        <v>1841</v>
      </c>
      <c r="AP65" t="s">
        <v>1857</v>
      </c>
    </row>
    <row r="66" spans="1:42" x14ac:dyDescent="0.25">
      <c r="A66" t="s">
        <v>1858</v>
      </c>
      <c r="B66" t="s">
        <v>1859</v>
      </c>
      <c r="C66" t="s">
        <v>1860</v>
      </c>
      <c r="D66" t="s">
        <v>1861</v>
      </c>
      <c r="E66" t="s">
        <v>1862</v>
      </c>
      <c r="F66" t="s">
        <v>1863</v>
      </c>
      <c r="G66" t="s">
        <v>1858</v>
      </c>
      <c r="H66" t="s">
        <v>1864</v>
      </c>
      <c r="I66" t="s">
        <v>1864</v>
      </c>
      <c r="J66" t="s">
        <v>1865</v>
      </c>
      <c r="K66" t="s">
        <v>1866</v>
      </c>
      <c r="L66" t="s">
        <v>1858</v>
      </c>
      <c r="M66" t="s">
        <v>1858</v>
      </c>
      <c r="N66" t="s">
        <v>1858</v>
      </c>
      <c r="O66" t="s">
        <v>1858</v>
      </c>
      <c r="P66" t="s">
        <v>1867</v>
      </c>
      <c r="Q66" t="s">
        <v>1858</v>
      </c>
      <c r="R66" t="s">
        <v>1868</v>
      </c>
      <c r="S66" t="s">
        <v>1869</v>
      </c>
      <c r="T66" t="s">
        <v>1870</v>
      </c>
      <c r="U66" t="s">
        <v>1858</v>
      </c>
      <c r="V66" t="s">
        <v>1858</v>
      </c>
      <c r="W66" t="s">
        <v>1871</v>
      </c>
      <c r="X66" t="s">
        <v>1872</v>
      </c>
      <c r="Y66" t="s">
        <v>1865</v>
      </c>
      <c r="Z66" t="s">
        <v>1873</v>
      </c>
      <c r="AA66" t="s">
        <v>1874</v>
      </c>
      <c r="AB66" t="s">
        <v>1858</v>
      </c>
      <c r="AC66" t="s">
        <v>1875</v>
      </c>
      <c r="AD66" t="s">
        <v>1876</v>
      </c>
      <c r="AE66" t="s">
        <v>1858</v>
      </c>
      <c r="AF66" t="s">
        <v>1876</v>
      </c>
      <c r="AG66" t="s">
        <v>1873</v>
      </c>
      <c r="AH66" t="s">
        <v>1866</v>
      </c>
      <c r="AI66" t="s">
        <v>1877</v>
      </c>
      <c r="AJ66" t="s">
        <v>1858</v>
      </c>
      <c r="AK66" t="s">
        <v>1858</v>
      </c>
      <c r="AL66" t="s">
        <v>1878</v>
      </c>
      <c r="AM66" t="s">
        <v>1879</v>
      </c>
      <c r="AN66" t="s">
        <v>1880</v>
      </c>
      <c r="AO66" t="s">
        <v>1881</v>
      </c>
      <c r="AP66" t="s">
        <v>1882</v>
      </c>
    </row>
    <row r="67" spans="1:42" x14ac:dyDescent="0.25">
      <c r="A67" t="s">
        <v>1883</v>
      </c>
      <c r="B67" t="s">
        <v>1884</v>
      </c>
      <c r="C67" t="s">
        <v>1885</v>
      </c>
      <c r="D67" t="s">
        <v>1886</v>
      </c>
      <c r="E67" t="s">
        <v>1887</v>
      </c>
      <c r="F67" t="s">
        <v>1888</v>
      </c>
      <c r="G67" t="s">
        <v>1883</v>
      </c>
      <c r="H67" t="s">
        <v>1889</v>
      </c>
      <c r="I67" t="s">
        <v>1890</v>
      </c>
      <c r="J67" t="s">
        <v>1891</v>
      </c>
      <c r="K67" t="s">
        <v>1883</v>
      </c>
      <c r="L67" t="s">
        <v>1883</v>
      </c>
      <c r="M67" t="s">
        <v>1883</v>
      </c>
      <c r="N67" t="s">
        <v>1883</v>
      </c>
      <c r="O67" t="s">
        <v>1883</v>
      </c>
      <c r="P67" t="s">
        <v>1892</v>
      </c>
      <c r="Q67" t="s">
        <v>1883</v>
      </c>
      <c r="R67" t="s">
        <v>1893</v>
      </c>
      <c r="S67" t="s">
        <v>1894</v>
      </c>
      <c r="T67" t="s">
        <v>1895</v>
      </c>
      <c r="U67" t="s">
        <v>1883</v>
      </c>
      <c r="V67" t="s">
        <v>1891</v>
      </c>
      <c r="W67" t="s">
        <v>1883</v>
      </c>
      <c r="X67" t="s">
        <v>1896</v>
      </c>
      <c r="Y67" t="s">
        <v>1891</v>
      </c>
      <c r="Z67" t="s">
        <v>1888</v>
      </c>
      <c r="AA67" t="s">
        <v>1883</v>
      </c>
      <c r="AB67" t="s">
        <v>1883</v>
      </c>
      <c r="AC67" t="s">
        <v>1897</v>
      </c>
      <c r="AD67" t="s">
        <v>1883</v>
      </c>
      <c r="AE67" t="s">
        <v>1891</v>
      </c>
      <c r="AF67" t="s">
        <v>1883</v>
      </c>
      <c r="AG67" t="s">
        <v>1888</v>
      </c>
      <c r="AH67" t="s">
        <v>1883</v>
      </c>
      <c r="AI67" t="s">
        <v>1891</v>
      </c>
      <c r="AJ67" t="s">
        <v>1883</v>
      </c>
      <c r="AK67" t="s">
        <v>1883</v>
      </c>
      <c r="AL67" t="s">
        <v>1898</v>
      </c>
      <c r="AM67" t="s">
        <v>1891</v>
      </c>
      <c r="AN67" t="s">
        <v>1883</v>
      </c>
      <c r="AO67" t="s">
        <v>1888</v>
      </c>
      <c r="AP67" t="s">
        <v>1899</v>
      </c>
    </row>
    <row r="68" spans="1:42" x14ac:dyDescent="0.25">
      <c r="A68" t="s">
        <v>1900</v>
      </c>
      <c r="B68" t="s">
        <v>1900</v>
      </c>
      <c r="C68" t="s">
        <v>1901</v>
      </c>
      <c r="D68" t="s">
        <v>1902</v>
      </c>
      <c r="E68" t="s">
        <v>1903</v>
      </c>
      <c r="F68" t="s">
        <v>1904</v>
      </c>
      <c r="G68" t="s">
        <v>1905</v>
      </c>
      <c r="H68" t="s">
        <v>1906</v>
      </c>
      <c r="I68" t="s">
        <v>1907</v>
      </c>
      <c r="J68" t="s">
        <v>1908</v>
      </c>
      <c r="K68" t="s">
        <v>1900</v>
      </c>
      <c r="L68" t="s">
        <v>1900</v>
      </c>
      <c r="M68" t="s">
        <v>1900</v>
      </c>
      <c r="N68" t="s">
        <v>1900</v>
      </c>
      <c r="O68" t="s">
        <v>1900</v>
      </c>
      <c r="P68" t="s">
        <v>1909</v>
      </c>
      <c r="Q68" t="s">
        <v>1900</v>
      </c>
      <c r="R68" t="s">
        <v>1910</v>
      </c>
      <c r="S68" t="s">
        <v>1911</v>
      </c>
      <c r="T68" t="s">
        <v>1900</v>
      </c>
      <c r="U68" t="s">
        <v>1900</v>
      </c>
      <c r="V68" t="s">
        <v>1900</v>
      </c>
      <c r="W68" t="s">
        <v>1900</v>
      </c>
      <c r="X68" t="s">
        <v>1912</v>
      </c>
      <c r="Y68" t="s">
        <v>1913</v>
      </c>
      <c r="Z68" t="s">
        <v>1914</v>
      </c>
      <c r="AA68" t="s">
        <v>1915</v>
      </c>
      <c r="AB68" t="s">
        <v>1900</v>
      </c>
      <c r="AC68" t="s">
        <v>1916</v>
      </c>
      <c r="AD68" t="s">
        <v>1915</v>
      </c>
      <c r="AE68" t="s">
        <v>1905</v>
      </c>
      <c r="AF68" t="s">
        <v>1900</v>
      </c>
      <c r="AG68" t="s">
        <v>1914</v>
      </c>
      <c r="AH68" t="s">
        <v>1917</v>
      </c>
      <c r="AI68" t="s">
        <v>1908</v>
      </c>
      <c r="AJ68" t="s">
        <v>1900</v>
      </c>
      <c r="AK68" t="s">
        <v>1900</v>
      </c>
      <c r="AL68" t="s">
        <v>1918</v>
      </c>
      <c r="AM68" t="s">
        <v>1900</v>
      </c>
      <c r="AN68" t="s">
        <v>1900</v>
      </c>
      <c r="AO68" t="s">
        <v>1904</v>
      </c>
      <c r="AP68" t="s">
        <v>1919</v>
      </c>
    </row>
    <row r="69" spans="1:42" x14ac:dyDescent="0.25">
      <c r="A69" t="s">
        <v>1920</v>
      </c>
      <c r="B69" t="s">
        <v>1920</v>
      </c>
      <c r="C69" t="s">
        <v>1921</v>
      </c>
      <c r="D69" t="s">
        <v>1922</v>
      </c>
      <c r="E69" t="s">
        <v>1923</v>
      </c>
      <c r="F69" t="s">
        <v>1924</v>
      </c>
      <c r="G69" t="s">
        <v>1925</v>
      </c>
      <c r="H69" t="s">
        <v>1926</v>
      </c>
      <c r="I69" t="s">
        <v>1927</v>
      </c>
      <c r="J69" t="s">
        <v>1928</v>
      </c>
      <c r="K69" t="s">
        <v>1929</v>
      </c>
      <c r="L69" t="s">
        <v>1930</v>
      </c>
      <c r="M69" t="s">
        <v>1931</v>
      </c>
      <c r="N69" t="s">
        <v>1932</v>
      </c>
      <c r="O69" t="s">
        <v>1933</v>
      </c>
      <c r="P69" t="s">
        <v>1934</v>
      </c>
      <c r="Q69" t="s">
        <v>1935</v>
      </c>
      <c r="R69" t="s">
        <v>1936</v>
      </c>
      <c r="S69" t="s">
        <v>1937</v>
      </c>
      <c r="T69" t="s">
        <v>1938</v>
      </c>
      <c r="U69" t="s">
        <v>1939</v>
      </c>
      <c r="V69" t="s">
        <v>1940</v>
      </c>
      <c r="W69" t="s">
        <v>1941</v>
      </c>
      <c r="X69" t="s">
        <v>1942</v>
      </c>
      <c r="Y69" t="s">
        <v>1943</v>
      </c>
      <c r="Z69" t="s">
        <v>1944</v>
      </c>
      <c r="AA69" t="s">
        <v>1945</v>
      </c>
      <c r="AB69" t="s">
        <v>1946</v>
      </c>
      <c r="AC69" t="s">
        <v>1947</v>
      </c>
      <c r="AD69" t="s">
        <v>1948</v>
      </c>
      <c r="AE69" t="s">
        <v>1949</v>
      </c>
      <c r="AF69" t="s">
        <v>1950</v>
      </c>
      <c r="AG69" t="s">
        <v>1951</v>
      </c>
      <c r="AH69" t="s">
        <v>1952</v>
      </c>
      <c r="AI69" t="s">
        <v>1928</v>
      </c>
      <c r="AJ69" t="s">
        <v>1925</v>
      </c>
      <c r="AK69" t="s">
        <v>1930</v>
      </c>
      <c r="AL69" t="s">
        <v>1953</v>
      </c>
      <c r="AM69" t="s">
        <v>1954</v>
      </c>
      <c r="AN69" t="s">
        <v>1955</v>
      </c>
      <c r="AO69" t="s">
        <v>1956</v>
      </c>
      <c r="AP69" t="s">
        <v>1957</v>
      </c>
    </row>
    <row r="70" spans="1:42" x14ac:dyDescent="0.25">
      <c r="A70" t="s">
        <v>1958</v>
      </c>
      <c r="B70" t="s">
        <v>1959</v>
      </c>
      <c r="C70" t="s">
        <v>1960</v>
      </c>
      <c r="D70" t="s">
        <v>1961</v>
      </c>
      <c r="E70" t="s">
        <v>1962</v>
      </c>
      <c r="F70" t="s">
        <v>1963</v>
      </c>
      <c r="G70" t="s">
        <v>1964</v>
      </c>
      <c r="H70" t="s">
        <v>1965</v>
      </c>
      <c r="I70" t="s">
        <v>1965</v>
      </c>
      <c r="J70" t="s">
        <v>1966</v>
      </c>
      <c r="K70" t="s">
        <v>1967</v>
      </c>
      <c r="L70" t="s">
        <v>1968</v>
      </c>
      <c r="M70" t="s">
        <v>1969</v>
      </c>
      <c r="N70" t="s">
        <v>1970</v>
      </c>
      <c r="O70" t="s">
        <v>1970</v>
      </c>
      <c r="P70" t="s">
        <v>1971</v>
      </c>
      <c r="Q70" t="s">
        <v>1972</v>
      </c>
      <c r="R70" t="s">
        <v>1973</v>
      </c>
      <c r="S70" t="s">
        <v>1974</v>
      </c>
      <c r="T70" t="s">
        <v>1975</v>
      </c>
      <c r="U70" t="s">
        <v>1976</v>
      </c>
      <c r="V70" t="s">
        <v>1977</v>
      </c>
      <c r="W70" t="s">
        <v>1978</v>
      </c>
      <c r="X70" t="s">
        <v>1979</v>
      </c>
      <c r="Y70" t="s">
        <v>1980</v>
      </c>
      <c r="Z70" t="s">
        <v>1981</v>
      </c>
      <c r="AA70" t="s">
        <v>1982</v>
      </c>
      <c r="AB70" t="s">
        <v>1983</v>
      </c>
      <c r="AC70" t="s">
        <v>1984</v>
      </c>
      <c r="AD70" t="s">
        <v>1985</v>
      </c>
      <c r="AE70" t="s">
        <v>1986</v>
      </c>
      <c r="AF70" t="s">
        <v>1987</v>
      </c>
      <c r="AG70" t="s">
        <v>1981</v>
      </c>
      <c r="AH70" t="s">
        <v>1988</v>
      </c>
      <c r="AI70" t="s">
        <v>1966</v>
      </c>
      <c r="AJ70" t="s">
        <v>1989</v>
      </c>
      <c r="AK70" t="s">
        <v>1968</v>
      </c>
      <c r="AL70" t="s">
        <v>1990</v>
      </c>
      <c r="AM70" t="s">
        <v>1991</v>
      </c>
      <c r="AN70" t="s">
        <v>1992</v>
      </c>
      <c r="AO70" t="s">
        <v>1993</v>
      </c>
      <c r="AP70" t="s">
        <v>1994</v>
      </c>
    </row>
    <row r="71" spans="1:42" x14ac:dyDescent="0.25">
      <c r="A71" t="s">
        <v>1995</v>
      </c>
      <c r="B71" t="s">
        <v>1996</v>
      </c>
      <c r="C71" t="s">
        <v>1997</v>
      </c>
      <c r="D71" t="s">
        <v>1998</v>
      </c>
      <c r="E71" t="s">
        <v>1999</v>
      </c>
      <c r="F71" t="s">
        <v>2000</v>
      </c>
      <c r="G71" t="s">
        <v>2001</v>
      </c>
      <c r="H71" t="s">
        <v>2002</v>
      </c>
      <c r="I71" t="s">
        <v>2003</v>
      </c>
      <c r="J71" t="s">
        <v>2004</v>
      </c>
      <c r="K71" t="s">
        <v>2005</v>
      </c>
      <c r="L71" t="s">
        <v>2006</v>
      </c>
      <c r="M71" t="s">
        <v>2007</v>
      </c>
      <c r="N71" t="s">
        <v>2008</v>
      </c>
      <c r="O71" t="s">
        <v>2008</v>
      </c>
      <c r="P71" t="s">
        <v>2009</v>
      </c>
      <c r="Q71" t="s">
        <v>2010</v>
      </c>
      <c r="R71" t="s">
        <v>2011</v>
      </c>
      <c r="S71" t="s">
        <v>2012</v>
      </c>
      <c r="T71" t="s">
        <v>2013</v>
      </c>
      <c r="U71" t="s">
        <v>2014</v>
      </c>
      <c r="V71" t="s">
        <v>2015</v>
      </c>
      <c r="W71" t="s">
        <v>2016</v>
      </c>
      <c r="X71" t="s">
        <v>2017</v>
      </c>
      <c r="Y71" t="s">
        <v>2018</v>
      </c>
      <c r="Z71" t="s">
        <v>2000</v>
      </c>
      <c r="AA71" t="s">
        <v>2019</v>
      </c>
      <c r="AB71" t="s">
        <v>2020</v>
      </c>
      <c r="AC71" t="s">
        <v>2021</v>
      </c>
      <c r="AD71" t="s">
        <v>2022</v>
      </c>
      <c r="AE71" t="s">
        <v>2023</v>
      </c>
      <c r="AF71" t="s">
        <v>2024</v>
      </c>
      <c r="AG71" t="s">
        <v>2000</v>
      </c>
      <c r="AH71" t="s">
        <v>2005</v>
      </c>
      <c r="AI71" t="s">
        <v>2025</v>
      </c>
      <c r="AJ71" t="s">
        <v>2026</v>
      </c>
      <c r="AK71" t="s">
        <v>2027</v>
      </c>
      <c r="AL71" t="s">
        <v>2028</v>
      </c>
      <c r="AM71" t="s">
        <v>2029</v>
      </c>
      <c r="AN71" t="s">
        <v>2030</v>
      </c>
      <c r="AO71" t="s">
        <v>2031</v>
      </c>
      <c r="AP71" t="s">
        <v>2032</v>
      </c>
    </row>
    <row r="72" spans="1:42" x14ac:dyDescent="0.25">
      <c r="A72" t="s">
        <v>2033</v>
      </c>
      <c r="B72" t="s">
        <v>2034</v>
      </c>
      <c r="C72" t="s">
        <v>2035</v>
      </c>
      <c r="D72" t="s">
        <v>2036</v>
      </c>
      <c r="E72" t="s">
        <v>2037</v>
      </c>
      <c r="F72" t="s">
        <v>2038</v>
      </c>
      <c r="G72" t="s">
        <v>2039</v>
      </c>
      <c r="H72" t="s">
        <v>2040</v>
      </c>
      <c r="I72" t="s">
        <v>2041</v>
      </c>
      <c r="J72" t="s">
        <v>2042</v>
      </c>
      <c r="K72" t="s">
        <v>2043</v>
      </c>
      <c r="L72" t="s">
        <v>2044</v>
      </c>
      <c r="M72" t="s">
        <v>2045</v>
      </c>
      <c r="N72" t="s">
        <v>2046</v>
      </c>
      <c r="O72" t="s">
        <v>2046</v>
      </c>
      <c r="P72" t="s">
        <v>2047</v>
      </c>
      <c r="Q72" t="s">
        <v>2048</v>
      </c>
      <c r="R72" t="s">
        <v>2049</v>
      </c>
      <c r="S72" t="s">
        <v>2050</v>
      </c>
      <c r="T72" t="s">
        <v>2051</v>
      </c>
      <c r="U72" t="s">
        <v>2052</v>
      </c>
      <c r="V72" t="s">
        <v>2053</v>
      </c>
      <c r="W72" t="s">
        <v>2054</v>
      </c>
      <c r="X72" t="s">
        <v>2055</v>
      </c>
      <c r="Y72" t="s">
        <v>2056</v>
      </c>
      <c r="Z72" t="s">
        <v>2057</v>
      </c>
      <c r="AA72" t="s">
        <v>2058</v>
      </c>
      <c r="AB72" t="s">
        <v>2059</v>
      </c>
      <c r="AC72" t="s">
        <v>2060</v>
      </c>
      <c r="AD72" t="s">
        <v>2061</v>
      </c>
      <c r="AE72" t="s">
        <v>2062</v>
      </c>
      <c r="AF72" t="s">
        <v>2063</v>
      </c>
      <c r="AG72" t="s">
        <v>2057</v>
      </c>
      <c r="AH72" t="s">
        <v>2043</v>
      </c>
      <c r="AI72" t="s">
        <v>2064</v>
      </c>
      <c r="AJ72" t="s">
        <v>2065</v>
      </c>
      <c r="AK72" t="s">
        <v>2066</v>
      </c>
      <c r="AL72" t="s">
        <v>2067</v>
      </c>
      <c r="AM72" t="s">
        <v>2068</v>
      </c>
      <c r="AN72" t="s">
        <v>2069</v>
      </c>
      <c r="AO72" t="s">
        <v>2070</v>
      </c>
      <c r="AP72" t="s">
        <v>2071</v>
      </c>
    </row>
    <row r="73" spans="1:42" x14ac:dyDescent="0.25">
      <c r="A73" t="s">
        <v>2072</v>
      </c>
      <c r="B73" t="s">
        <v>2072</v>
      </c>
      <c r="C73" t="s">
        <v>2073</v>
      </c>
      <c r="D73" t="s">
        <v>2074</v>
      </c>
      <c r="E73" t="s">
        <v>2072</v>
      </c>
      <c r="F73" t="s">
        <v>2075</v>
      </c>
      <c r="G73" t="s">
        <v>2076</v>
      </c>
      <c r="H73" t="s">
        <v>2077</v>
      </c>
      <c r="I73" t="s">
        <v>2077</v>
      </c>
      <c r="J73" t="s">
        <v>2072</v>
      </c>
      <c r="K73" t="s">
        <v>2072</v>
      </c>
      <c r="L73" t="s">
        <v>2072</v>
      </c>
      <c r="M73" t="s">
        <v>2078</v>
      </c>
      <c r="N73" t="s">
        <v>2078</v>
      </c>
      <c r="O73" t="s">
        <v>2078</v>
      </c>
      <c r="P73" t="s">
        <v>2079</v>
      </c>
      <c r="Q73" t="s">
        <v>2072</v>
      </c>
      <c r="R73" t="s">
        <v>2080</v>
      </c>
      <c r="S73" t="s">
        <v>2081</v>
      </c>
      <c r="T73" t="s">
        <v>2072</v>
      </c>
      <c r="U73" t="s">
        <v>2072</v>
      </c>
      <c r="V73" t="s">
        <v>2082</v>
      </c>
      <c r="W73" t="s">
        <v>2072</v>
      </c>
      <c r="X73" t="s">
        <v>2083</v>
      </c>
      <c r="Y73" t="s">
        <v>2084</v>
      </c>
      <c r="Z73" t="s">
        <v>2075</v>
      </c>
      <c r="AA73" t="s">
        <v>2085</v>
      </c>
      <c r="AB73" t="s">
        <v>2072</v>
      </c>
      <c r="AC73" t="s">
        <v>2086</v>
      </c>
      <c r="AD73" t="s">
        <v>2072</v>
      </c>
      <c r="AE73" t="s">
        <v>2072</v>
      </c>
      <c r="AF73" t="s">
        <v>2072</v>
      </c>
      <c r="AG73" t="s">
        <v>2075</v>
      </c>
      <c r="AH73" t="s">
        <v>2072</v>
      </c>
      <c r="AI73" t="s">
        <v>2072</v>
      </c>
      <c r="AJ73" t="s">
        <v>2076</v>
      </c>
      <c r="AK73" t="s">
        <v>2072</v>
      </c>
      <c r="AL73" t="s">
        <v>2087</v>
      </c>
      <c r="AM73" t="s">
        <v>2072</v>
      </c>
      <c r="AN73" t="s">
        <v>2072</v>
      </c>
      <c r="AO73" t="s">
        <v>2088</v>
      </c>
      <c r="AP73" t="s">
        <v>2089</v>
      </c>
    </row>
    <row r="74" spans="1:42" x14ac:dyDescent="0.25">
      <c r="A74" t="s">
        <v>2090</v>
      </c>
      <c r="B74" t="s">
        <v>2091</v>
      </c>
      <c r="C74" t="s">
        <v>2092</v>
      </c>
      <c r="D74" t="s">
        <v>2093</v>
      </c>
      <c r="E74" t="s">
        <v>2094</v>
      </c>
      <c r="F74" t="s">
        <v>2095</v>
      </c>
      <c r="G74" t="s">
        <v>2096</v>
      </c>
      <c r="H74" t="s">
        <v>2097</v>
      </c>
      <c r="I74" t="s">
        <v>2098</v>
      </c>
      <c r="J74" t="s">
        <v>2099</v>
      </c>
      <c r="K74" t="s">
        <v>2100</v>
      </c>
      <c r="L74" t="s">
        <v>2101</v>
      </c>
      <c r="M74" t="s">
        <v>2102</v>
      </c>
      <c r="N74" t="s">
        <v>2103</v>
      </c>
      <c r="O74" t="s">
        <v>2103</v>
      </c>
      <c r="P74" t="s">
        <v>2104</v>
      </c>
      <c r="Q74" t="s">
        <v>2105</v>
      </c>
      <c r="R74" t="s">
        <v>2106</v>
      </c>
      <c r="S74" t="s">
        <v>2107</v>
      </c>
      <c r="T74" t="s">
        <v>2108</v>
      </c>
      <c r="U74" t="s">
        <v>2109</v>
      </c>
      <c r="V74" t="s">
        <v>2101</v>
      </c>
      <c r="W74" t="s">
        <v>2110</v>
      </c>
      <c r="X74" t="s">
        <v>2111</v>
      </c>
      <c r="Y74" t="s">
        <v>2112</v>
      </c>
      <c r="Z74" t="s">
        <v>2113</v>
      </c>
      <c r="AA74" t="s">
        <v>2114</v>
      </c>
      <c r="AB74" t="s">
        <v>2115</v>
      </c>
      <c r="AC74" t="s">
        <v>2116</v>
      </c>
      <c r="AD74" t="s">
        <v>2117</v>
      </c>
      <c r="AE74" t="s">
        <v>2118</v>
      </c>
      <c r="AF74" t="s">
        <v>2119</v>
      </c>
      <c r="AG74" t="s">
        <v>2113</v>
      </c>
      <c r="AH74" t="s">
        <v>2120</v>
      </c>
      <c r="AI74" t="s">
        <v>2099</v>
      </c>
      <c r="AJ74" t="s">
        <v>2121</v>
      </c>
      <c r="AK74" t="s">
        <v>2115</v>
      </c>
      <c r="AL74" t="s">
        <v>2122</v>
      </c>
      <c r="AM74" t="s">
        <v>2123</v>
      </c>
      <c r="AN74" t="s">
        <v>2090</v>
      </c>
      <c r="AO74" t="s">
        <v>2124</v>
      </c>
      <c r="AP74" t="s">
        <v>2125</v>
      </c>
    </row>
    <row r="75" spans="1:42" x14ac:dyDescent="0.25">
      <c r="A75" t="s">
        <v>2126</v>
      </c>
      <c r="B75" t="s">
        <v>2127</v>
      </c>
      <c r="C75" t="s">
        <v>2128</v>
      </c>
      <c r="D75" t="s">
        <v>2129</v>
      </c>
      <c r="E75" t="s">
        <v>2130</v>
      </c>
      <c r="F75" t="s">
        <v>2131</v>
      </c>
      <c r="G75" t="s">
        <v>2127</v>
      </c>
      <c r="H75" t="s">
        <v>2132</v>
      </c>
      <c r="I75" t="s">
        <v>2132</v>
      </c>
      <c r="J75" t="s">
        <v>2133</v>
      </c>
      <c r="K75" t="s">
        <v>2126</v>
      </c>
      <c r="L75" t="s">
        <v>2126</v>
      </c>
      <c r="M75" t="s">
        <v>2126</v>
      </c>
      <c r="N75" t="s">
        <v>2126</v>
      </c>
      <c r="O75" t="s">
        <v>2126</v>
      </c>
      <c r="P75" t="s">
        <v>2134</v>
      </c>
      <c r="Q75" t="s">
        <v>2126</v>
      </c>
      <c r="R75" t="s">
        <v>2135</v>
      </c>
      <c r="S75" t="s">
        <v>2136</v>
      </c>
      <c r="T75" t="s">
        <v>2126</v>
      </c>
      <c r="U75" t="s">
        <v>2126</v>
      </c>
      <c r="V75" t="s">
        <v>2137</v>
      </c>
      <c r="W75" t="s">
        <v>2126</v>
      </c>
      <c r="X75" t="s">
        <v>2138</v>
      </c>
      <c r="Y75" t="s">
        <v>2139</v>
      </c>
      <c r="Z75" t="s">
        <v>2140</v>
      </c>
      <c r="AA75" t="s">
        <v>2141</v>
      </c>
      <c r="AB75" t="s">
        <v>2126</v>
      </c>
      <c r="AC75" t="s">
        <v>2142</v>
      </c>
      <c r="AD75" t="s">
        <v>2141</v>
      </c>
      <c r="AE75" t="s">
        <v>2127</v>
      </c>
      <c r="AF75" t="s">
        <v>2126</v>
      </c>
      <c r="AG75" t="s">
        <v>2140</v>
      </c>
      <c r="AH75" t="s">
        <v>2143</v>
      </c>
      <c r="AI75" t="s">
        <v>2133</v>
      </c>
      <c r="AJ75" t="s">
        <v>2126</v>
      </c>
      <c r="AK75" t="s">
        <v>2126</v>
      </c>
      <c r="AL75" t="s">
        <v>2144</v>
      </c>
      <c r="AM75" t="s">
        <v>2126</v>
      </c>
      <c r="AN75" t="s">
        <v>2126</v>
      </c>
      <c r="AO75" t="s">
        <v>2131</v>
      </c>
      <c r="AP75" t="s">
        <v>2145</v>
      </c>
    </row>
    <row r="76" spans="1:42" x14ac:dyDescent="0.25">
      <c r="A76" t="s">
        <v>2146</v>
      </c>
      <c r="B76" t="s">
        <v>2147</v>
      </c>
      <c r="C76" t="s">
        <v>2148</v>
      </c>
      <c r="D76" t="s">
        <v>2149</v>
      </c>
      <c r="E76" t="s">
        <v>2150</v>
      </c>
      <c r="F76" t="s">
        <v>2151</v>
      </c>
      <c r="G76" t="s">
        <v>2152</v>
      </c>
      <c r="H76" t="s">
        <v>2153</v>
      </c>
      <c r="I76" t="s">
        <v>2153</v>
      </c>
      <c r="J76" t="s">
        <v>2154</v>
      </c>
      <c r="K76" t="s">
        <v>2155</v>
      </c>
      <c r="L76" t="s">
        <v>2156</v>
      </c>
      <c r="M76" t="s">
        <v>2157</v>
      </c>
      <c r="N76" t="s">
        <v>2158</v>
      </c>
      <c r="O76" t="s">
        <v>2158</v>
      </c>
      <c r="P76" t="s">
        <v>2159</v>
      </c>
      <c r="Q76" t="s">
        <v>2160</v>
      </c>
      <c r="R76" t="s">
        <v>2161</v>
      </c>
      <c r="S76" t="s">
        <v>2162</v>
      </c>
      <c r="T76" t="s">
        <v>2163</v>
      </c>
      <c r="U76" t="s">
        <v>2164</v>
      </c>
      <c r="V76" t="s">
        <v>2165</v>
      </c>
      <c r="W76" t="s">
        <v>2166</v>
      </c>
      <c r="X76" t="s">
        <v>2167</v>
      </c>
      <c r="Y76" t="s">
        <v>2168</v>
      </c>
      <c r="Z76" t="s">
        <v>2169</v>
      </c>
      <c r="AA76" t="s">
        <v>2168</v>
      </c>
      <c r="AB76" t="s">
        <v>2170</v>
      </c>
      <c r="AC76" t="s">
        <v>2171</v>
      </c>
      <c r="AD76" t="s">
        <v>2172</v>
      </c>
      <c r="AE76" t="s">
        <v>2152</v>
      </c>
      <c r="AF76" t="s">
        <v>2173</v>
      </c>
      <c r="AG76" t="s">
        <v>2174</v>
      </c>
      <c r="AH76" t="s">
        <v>2155</v>
      </c>
      <c r="AI76" t="s">
        <v>2175</v>
      </c>
      <c r="AJ76" t="s">
        <v>2176</v>
      </c>
      <c r="AK76" t="s">
        <v>2177</v>
      </c>
      <c r="AL76" t="s">
        <v>2178</v>
      </c>
      <c r="AM76" t="s">
        <v>2179</v>
      </c>
      <c r="AN76" t="s">
        <v>2180</v>
      </c>
      <c r="AO76" t="s">
        <v>2181</v>
      </c>
      <c r="AP76" t="s">
        <v>2182</v>
      </c>
    </row>
    <row r="77" spans="1:42" x14ac:dyDescent="0.25">
      <c r="A77" t="s">
        <v>2183</v>
      </c>
      <c r="B77" t="s">
        <v>2184</v>
      </c>
      <c r="C77" t="s">
        <v>2185</v>
      </c>
      <c r="D77" t="s">
        <v>2186</v>
      </c>
      <c r="E77" t="s">
        <v>2187</v>
      </c>
      <c r="F77" t="s">
        <v>2188</v>
      </c>
      <c r="G77" t="s">
        <v>2183</v>
      </c>
      <c r="H77" t="s">
        <v>2189</v>
      </c>
      <c r="I77" t="s">
        <v>2190</v>
      </c>
      <c r="J77" t="s">
        <v>2183</v>
      </c>
      <c r="K77" t="s">
        <v>2183</v>
      </c>
      <c r="L77" t="s">
        <v>2183</v>
      </c>
      <c r="M77" t="s">
        <v>2191</v>
      </c>
      <c r="N77" t="s">
        <v>2183</v>
      </c>
      <c r="O77" t="s">
        <v>2183</v>
      </c>
      <c r="P77" t="s">
        <v>2192</v>
      </c>
      <c r="Q77" t="s">
        <v>2183</v>
      </c>
      <c r="R77" t="s">
        <v>2193</v>
      </c>
      <c r="S77" t="s">
        <v>2194</v>
      </c>
      <c r="T77" t="s">
        <v>2183</v>
      </c>
      <c r="U77" t="s">
        <v>2183</v>
      </c>
      <c r="V77" t="s">
        <v>2183</v>
      </c>
      <c r="W77" t="s">
        <v>2183</v>
      </c>
      <c r="X77" t="s">
        <v>2195</v>
      </c>
      <c r="Y77" t="s">
        <v>2196</v>
      </c>
      <c r="Z77" t="s">
        <v>2197</v>
      </c>
      <c r="AA77" t="s">
        <v>2183</v>
      </c>
      <c r="AB77" t="s">
        <v>2183</v>
      </c>
      <c r="AC77" t="s">
        <v>2198</v>
      </c>
      <c r="AD77" t="s">
        <v>2183</v>
      </c>
      <c r="AE77" t="s">
        <v>2183</v>
      </c>
      <c r="AF77" t="s">
        <v>2183</v>
      </c>
      <c r="AG77" t="s">
        <v>2197</v>
      </c>
      <c r="AH77" t="s">
        <v>2183</v>
      </c>
      <c r="AI77" t="s">
        <v>2183</v>
      </c>
      <c r="AJ77" t="s">
        <v>2199</v>
      </c>
      <c r="AK77" t="s">
        <v>2183</v>
      </c>
      <c r="AL77" t="s">
        <v>2200</v>
      </c>
      <c r="AM77" t="s">
        <v>2183</v>
      </c>
      <c r="AN77" t="s">
        <v>2183</v>
      </c>
      <c r="AO77" t="s">
        <v>2188</v>
      </c>
      <c r="AP77" t="s">
        <v>2183</v>
      </c>
    </row>
    <row r="78" spans="1:42" x14ac:dyDescent="0.25">
      <c r="A78" t="s">
        <v>2201</v>
      </c>
      <c r="B78" t="s">
        <v>2202</v>
      </c>
      <c r="C78" t="s">
        <v>2203</v>
      </c>
      <c r="D78" t="s">
        <v>2204</v>
      </c>
      <c r="E78" t="s">
        <v>2205</v>
      </c>
      <c r="F78" t="s">
        <v>2206</v>
      </c>
      <c r="G78" t="s">
        <v>2207</v>
      </c>
      <c r="H78" t="s">
        <v>2208</v>
      </c>
      <c r="I78" t="s">
        <v>2208</v>
      </c>
      <c r="J78" t="s">
        <v>2209</v>
      </c>
      <c r="K78" t="s">
        <v>2210</v>
      </c>
      <c r="L78" t="s">
        <v>2211</v>
      </c>
      <c r="M78" t="s">
        <v>2212</v>
      </c>
      <c r="N78" t="s">
        <v>2213</v>
      </c>
      <c r="O78" t="s">
        <v>2213</v>
      </c>
      <c r="P78" t="s">
        <v>2214</v>
      </c>
      <c r="Q78" t="s">
        <v>2215</v>
      </c>
      <c r="R78" t="s">
        <v>2216</v>
      </c>
      <c r="S78" t="s">
        <v>2217</v>
      </c>
      <c r="T78" t="s">
        <v>2218</v>
      </c>
      <c r="U78" t="s">
        <v>2219</v>
      </c>
      <c r="V78" t="s">
        <v>2220</v>
      </c>
      <c r="W78" t="s">
        <v>2221</v>
      </c>
      <c r="X78" t="s">
        <v>2222</v>
      </c>
      <c r="Y78" t="s">
        <v>2223</v>
      </c>
      <c r="Z78" t="s">
        <v>2224</v>
      </c>
      <c r="AA78" t="s">
        <v>2225</v>
      </c>
      <c r="AB78" t="s">
        <v>2211</v>
      </c>
      <c r="AC78" t="s">
        <v>2226</v>
      </c>
      <c r="AD78" t="s">
        <v>2227</v>
      </c>
      <c r="AE78" t="s">
        <v>2228</v>
      </c>
      <c r="AF78" t="s">
        <v>2229</v>
      </c>
      <c r="AG78" t="s">
        <v>2230</v>
      </c>
      <c r="AH78" t="s">
        <v>2231</v>
      </c>
      <c r="AI78" t="s">
        <v>2232</v>
      </c>
      <c r="AJ78" t="s">
        <v>2233</v>
      </c>
      <c r="AK78" t="s">
        <v>2234</v>
      </c>
      <c r="AL78" t="s">
        <v>2235</v>
      </c>
      <c r="AM78" t="s">
        <v>2236</v>
      </c>
      <c r="AN78" t="s">
        <v>2237</v>
      </c>
      <c r="AO78" t="s">
        <v>2238</v>
      </c>
      <c r="AP78" t="s">
        <v>2239</v>
      </c>
    </row>
    <row r="79" spans="1:42" x14ac:dyDescent="0.25">
      <c r="A79" t="s">
        <v>2240</v>
      </c>
      <c r="B79" t="s">
        <v>2241</v>
      </c>
      <c r="C79" t="s">
        <v>2242</v>
      </c>
      <c r="D79" t="s">
        <v>2243</v>
      </c>
      <c r="E79" t="s">
        <v>2244</v>
      </c>
      <c r="F79" t="s">
        <v>2245</v>
      </c>
      <c r="G79" t="s">
        <v>2246</v>
      </c>
      <c r="H79" t="s">
        <v>2247</v>
      </c>
      <c r="I79" t="s">
        <v>2247</v>
      </c>
      <c r="J79" t="s">
        <v>2248</v>
      </c>
      <c r="K79" t="s">
        <v>2249</v>
      </c>
      <c r="L79" t="s">
        <v>2250</v>
      </c>
      <c r="M79" t="s">
        <v>2251</v>
      </c>
      <c r="N79" t="s">
        <v>2252</v>
      </c>
      <c r="O79" t="s">
        <v>2252</v>
      </c>
      <c r="P79" t="s">
        <v>2253</v>
      </c>
      <c r="Q79" t="s">
        <v>2254</v>
      </c>
      <c r="R79" t="s">
        <v>2255</v>
      </c>
      <c r="S79" t="s">
        <v>2256</v>
      </c>
      <c r="T79" t="s">
        <v>2257</v>
      </c>
      <c r="U79" t="s">
        <v>2258</v>
      </c>
      <c r="V79" t="s">
        <v>2259</v>
      </c>
      <c r="W79" t="s">
        <v>2260</v>
      </c>
      <c r="X79" t="s">
        <v>2261</v>
      </c>
      <c r="Y79" t="s">
        <v>2262</v>
      </c>
      <c r="Z79" t="s">
        <v>2263</v>
      </c>
      <c r="AA79" t="s">
        <v>2264</v>
      </c>
      <c r="AB79" t="s">
        <v>2250</v>
      </c>
      <c r="AC79" t="s">
        <v>2265</v>
      </c>
      <c r="AD79" t="s">
        <v>2266</v>
      </c>
      <c r="AE79" t="s">
        <v>2267</v>
      </c>
      <c r="AF79" t="s">
        <v>2268</v>
      </c>
      <c r="AG79" t="s">
        <v>2263</v>
      </c>
      <c r="AH79" t="s">
        <v>2249</v>
      </c>
      <c r="AI79" t="s">
        <v>2248</v>
      </c>
      <c r="AJ79" t="s">
        <v>2269</v>
      </c>
      <c r="AK79" t="s">
        <v>2250</v>
      </c>
      <c r="AL79" t="s">
        <v>2270</v>
      </c>
      <c r="AM79" t="s">
        <v>2244</v>
      </c>
      <c r="AN79" t="s">
        <v>2271</v>
      </c>
      <c r="AO79" t="s">
        <v>2272</v>
      </c>
      <c r="AP79" t="s">
        <v>2273</v>
      </c>
    </row>
    <row r="80" spans="1:42" x14ac:dyDescent="0.25">
      <c r="A80" t="s">
        <v>2274</v>
      </c>
      <c r="B80" t="s">
        <v>2275</v>
      </c>
      <c r="C80" t="s">
        <v>2276</v>
      </c>
      <c r="D80" t="s">
        <v>2277</v>
      </c>
      <c r="E80" t="s">
        <v>2278</v>
      </c>
      <c r="F80" t="s">
        <v>2279</v>
      </c>
      <c r="G80" t="s">
        <v>2280</v>
      </c>
      <c r="H80" t="s">
        <v>2281</v>
      </c>
      <c r="I80" t="s">
        <v>2281</v>
      </c>
      <c r="J80" t="s">
        <v>2282</v>
      </c>
      <c r="K80" t="s">
        <v>2274</v>
      </c>
      <c r="L80" t="s">
        <v>2283</v>
      </c>
      <c r="M80" t="s">
        <v>2284</v>
      </c>
      <c r="N80" t="s">
        <v>2284</v>
      </c>
      <c r="O80" t="s">
        <v>2284</v>
      </c>
      <c r="P80" t="s">
        <v>2285</v>
      </c>
      <c r="Q80" t="s">
        <v>2286</v>
      </c>
      <c r="R80" t="s">
        <v>2287</v>
      </c>
      <c r="S80" t="s">
        <v>2288</v>
      </c>
      <c r="T80" t="s">
        <v>2289</v>
      </c>
      <c r="U80" t="s">
        <v>2290</v>
      </c>
      <c r="V80" t="s">
        <v>2291</v>
      </c>
      <c r="W80" t="s">
        <v>2292</v>
      </c>
      <c r="X80" t="s">
        <v>2293</v>
      </c>
      <c r="Y80" t="s">
        <v>2294</v>
      </c>
      <c r="Z80" t="s">
        <v>2279</v>
      </c>
      <c r="AA80" t="s">
        <v>2295</v>
      </c>
      <c r="AB80" t="s">
        <v>2274</v>
      </c>
      <c r="AC80" t="s">
        <v>2276</v>
      </c>
      <c r="AD80" t="s">
        <v>2296</v>
      </c>
      <c r="AE80" t="s">
        <v>2297</v>
      </c>
      <c r="AF80" t="s">
        <v>2296</v>
      </c>
      <c r="AG80" t="s">
        <v>2298</v>
      </c>
      <c r="AH80" t="s">
        <v>2274</v>
      </c>
      <c r="AI80" t="s">
        <v>2296</v>
      </c>
      <c r="AJ80" t="s">
        <v>2299</v>
      </c>
      <c r="AK80" t="s">
        <v>2283</v>
      </c>
      <c r="AL80" t="s">
        <v>2300</v>
      </c>
      <c r="AM80" t="s">
        <v>2301</v>
      </c>
      <c r="AN80" t="s">
        <v>2302</v>
      </c>
      <c r="AO80" t="s">
        <v>2303</v>
      </c>
      <c r="AP80" t="s">
        <v>2276</v>
      </c>
    </row>
    <row r="81" spans="1:42" x14ac:dyDescent="0.25">
      <c r="A81" t="s">
        <v>2304</v>
      </c>
      <c r="B81" t="s">
        <v>2305</v>
      </c>
      <c r="C81" t="s">
        <v>2306</v>
      </c>
      <c r="D81" t="s">
        <v>2307</v>
      </c>
      <c r="E81" t="s">
        <v>2308</v>
      </c>
      <c r="F81" t="s">
        <v>2309</v>
      </c>
      <c r="G81" t="s">
        <v>2310</v>
      </c>
      <c r="H81" t="s">
        <v>2311</v>
      </c>
      <c r="I81" t="s">
        <v>2312</v>
      </c>
      <c r="J81" t="s">
        <v>2313</v>
      </c>
      <c r="K81" t="s">
        <v>2314</v>
      </c>
      <c r="L81" t="s">
        <v>2304</v>
      </c>
      <c r="M81" t="s">
        <v>2315</v>
      </c>
      <c r="N81" t="s">
        <v>2316</v>
      </c>
      <c r="O81" t="s">
        <v>2316</v>
      </c>
      <c r="P81" t="s">
        <v>2317</v>
      </c>
      <c r="Q81" t="s">
        <v>2318</v>
      </c>
      <c r="R81" t="s">
        <v>2319</v>
      </c>
      <c r="S81" t="s">
        <v>2320</v>
      </c>
      <c r="T81" t="s">
        <v>2321</v>
      </c>
      <c r="U81" t="s">
        <v>2322</v>
      </c>
      <c r="V81" t="s">
        <v>2323</v>
      </c>
      <c r="W81" t="s">
        <v>2324</v>
      </c>
      <c r="X81" t="s">
        <v>2325</v>
      </c>
      <c r="Y81" t="s">
        <v>2326</v>
      </c>
      <c r="Z81" t="s">
        <v>2327</v>
      </c>
      <c r="AA81" t="s">
        <v>2304</v>
      </c>
      <c r="AB81" t="s">
        <v>2304</v>
      </c>
      <c r="AC81" t="s">
        <v>2328</v>
      </c>
      <c r="AD81" t="s">
        <v>2329</v>
      </c>
      <c r="AE81" t="s">
        <v>2330</v>
      </c>
      <c r="AF81" t="s">
        <v>2331</v>
      </c>
      <c r="AG81" t="s">
        <v>2332</v>
      </c>
      <c r="AH81" t="s">
        <v>2314</v>
      </c>
      <c r="AI81" t="s">
        <v>2333</v>
      </c>
      <c r="AJ81" t="s">
        <v>2334</v>
      </c>
      <c r="AK81" t="s">
        <v>2335</v>
      </c>
      <c r="AL81" t="s">
        <v>2336</v>
      </c>
      <c r="AM81" t="s">
        <v>2337</v>
      </c>
      <c r="AN81" t="s">
        <v>2304</v>
      </c>
      <c r="AO81" t="s">
        <v>2338</v>
      </c>
      <c r="AP81" t="s">
        <v>2339</v>
      </c>
    </row>
    <row r="82" spans="1:42" x14ac:dyDescent="0.25">
      <c r="A82" t="s">
        <v>2340</v>
      </c>
      <c r="B82" t="s">
        <v>2341</v>
      </c>
      <c r="C82" t="s">
        <v>2342</v>
      </c>
      <c r="D82" t="s">
        <v>2343</v>
      </c>
      <c r="E82" t="s">
        <v>2344</v>
      </c>
      <c r="F82" t="s">
        <v>2345</v>
      </c>
      <c r="G82" t="s">
        <v>2346</v>
      </c>
      <c r="H82" t="s">
        <v>2347</v>
      </c>
      <c r="I82" t="s">
        <v>2348</v>
      </c>
      <c r="J82" t="s">
        <v>2349</v>
      </c>
      <c r="K82" t="s">
        <v>2350</v>
      </c>
      <c r="L82" t="s">
        <v>2351</v>
      </c>
      <c r="M82" t="s">
        <v>2352</v>
      </c>
      <c r="N82" t="s">
        <v>2353</v>
      </c>
      <c r="O82" t="s">
        <v>2353</v>
      </c>
      <c r="P82" t="s">
        <v>2354</v>
      </c>
      <c r="Q82" t="s">
        <v>2351</v>
      </c>
      <c r="R82" t="s">
        <v>2355</v>
      </c>
      <c r="S82" t="s">
        <v>2356</v>
      </c>
      <c r="T82" t="s">
        <v>2357</v>
      </c>
      <c r="U82" t="s">
        <v>2358</v>
      </c>
      <c r="V82" t="s">
        <v>2359</v>
      </c>
      <c r="W82" t="s">
        <v>2360</v>
      </c>
      <c r="X82" t="s">
        <v>2361</v>
      </c>
      <c r="Y82" t="s">
        <v>2362</v>
      </c>
      <c r="Z82" t="s">
        <v>2363</v>
      </c>
      <c r="AA82" t="s">
        <v>2351</v>
      </c>
      <c r="AB82" t="s">
        <v>2364</v>
      </c>
      <c r="AC82" t="s">
        <v>2365</v>
      </c>
      <c r="AD82" t="s">
        <v>2366</v>
      </c>
      <c r="AE82" t="s">
        <v>2367</v>
      </c>
      <c r="AF82" t="s">
        <v>2368</v>
      </c>
      <c r="AG82" t="s">
        <v>2369</v>
      </c>
      <c r="AH82" t="s">
        <v>2350</v>
      </c>
      <c r="AI82" t="s">
        <v>2370</v>
      </c>
      <c r="AJ82" t="s">
        <v>2367</v>
      </c>
      <c r="AK82" t="s">
        <v>2351</v>
      </c>
      <c r="AL82" t="s">
        <v>2371</v>
      </c>
      <c r="AM82" t="s">
        <v>2372</v>
      </c>
      <c r="AN82" t="s">
        <v>2340</v>
      </c>
      <c r="AO82" t="s">
        <v>2373</v>
      </c>
      <c r="AP82" t="s">
        <v>2374</v>
      </c>
    </row>
    <row r="83" spans="1:42" x14ac:dyDescent="0.25">
      <c r="A83" t="s">
        <v>2375</v>
      </c>
      <c r="B83" t="s">
        <v>2376</v>
      </c>
      <c r="C83" t="s">
        <v>2377</v>
      </c>
      <c r="D83" t="s">
        <v>2378</v>
      </c>
      <c r="E83" t="s">
        <v>2379</v>
      </c>
      <c r="F83" t="s">
        <v>2380</v>
      </c>
      <c r="G83" t="s">
        <v>2375</v>
      </c>
      <c r="H83" t="s">
        <v>2381</v>
      </c>
      <c r="I83" t="s">
        <v>2381</v>
      </c>
      <c r="J83" t="s">
        <v>2382</v>
      </c>
      <c r="K83" t="s">
        <v>2383</v>
      </c>
      <c r="L83" t="s">
        <v>2382</v>
      </c>
      <c r="M83" t="s">
        <v>2382</v>
      </c>
      <c r="N83" t="s">
        <v>2382</v>
      </c>
      <c r="O83" t="s">
        <v>2382</v>
      </c>
      <c r="P83" t="s">
        <v>2384</v>
      </c>
      <c r="Q83" t="s">
        <v>2382</v>
      </c>
      <c r="R83" t="s">
        <v>2385</v>
      </c>
      <c r="S83" t="s">
        <v>2386</v>
      </c>
      <c r="T83" t="s">
        <v>2382</v>
      </c>
      <c r="U83" t="s">
        <v>2382</v>
      </c>
      <c r="V83" t="s">
        <v>2387</v>
      </c>
      <c r="W83" t="s">
        <v>2375</v>
      </c>
      <c r="X83" t="s">
        <v>2388</v>
      </c>
      <c r="Y83" t="s">
        <v>2389</v>
      </c>
      <c r="Z83" t="s">
        <v>2380</v>
      </c>
      <c r="AA83" t="s">
        <v>2390</v>
      </c>
      <c r="AB83" t="s">
        <v>2382</v>
      </c>
      <c r="AC83" t="s">
        <v>2391</v>
      </c>
      <c r="AD83" t="s">
        <v>2382</v>
      </c>
      <c r="AE83" t="s">
        <v>2392</v>
      </c>
      <c r="AF83" t="s">
        <v>2382</v>
      </c>
      <c r="AG83" t="s">
        <v>2380</v>
      </c>
      <c r="AH83" t="s">
        <v>2382</v>
      </c>
      <c r="AI83" t="s">
        <v>2382</v>
      </c>
      <c r="AJ83" t="s">
        <v>2382</v>
      </c>
      <c r="AK83" t="s">
        <v>2382</v>
      </c>
      <c r="AL83" t="s">
        <v>2393</v>
      </c>
      <c r="AM83" t="s">
        <v>2382</v>
      </c>
      <c r="AN83" t="s">
        <v>2375</v>
      </c>
      <c r="AO83" t="s">
        <v>2394</v>
      </c>
      <c r="AP83" t="s">
        <v>2391</v>
      </c>
    </row>
    <row r="84" spans="1:42" x14ac:dyDescent="0.25">
      <c r="A84" t="s">
        <v>2395</v>
      </c>
      <c r="B84" t="s">
        <v>2396</v>
      </c>
      <c r="C84" t="s">
        <v>2397</v>
      </c>
      <c r="D84" t="s">
        <v>2398</v>
      </c>
      <c r="E84" t="s">
        <v>2399</v>
      </c>
      <c r="F84" t="s">
        <v>2400</v>
      </c>
      <c r="G84" t="s">
        <v>2401</v>
      </c>
      <c r="H84" t="s">
        <v>2402</v>
      </c>
      <c r="I84" t="s">
        <v>2402</v>
      </c>
      <c r="J84" t="s">
        <v>2403</v>
      </c>
      <c r="K84" t="s">
        <v>2404</v>
      </c>
      <c r="L84" t="s">
        <v>2405</v>
      </c>
      <c r="M84" t="s">
        <v>2406</v>
      </c>
      <c r="N84" t="s">
        <v>2407</v>
      </c>
      <c r="O84" t="s">
        <v>2407</v>
      </c>
      <c r="P84" t="s">
        <v>2408</v>
      </c>
      <c r="Q84" t="s">
        <v>2409</v>
      </c>
      <c r="R84" t="s">
        <v>2410</v>
      </c>
      <c r="S84" t="s">
        <v>2411</v>
      </c>
      <c r="T84" t="s">
        <v>2412</v>
      </c>
      <c r="U84" t="s">
        <v>2413</v>
      </c>
      <c r="V84" t="s">
        <v>2414</v>
      </c>
      <c r="W84" t="s">
        <v>2415</v>
      </c>
      <c r="X84" t="s">
        <v>2416</v>
      </c>
      <c r="Y84" t="s">
        <v>2417</v>
      </c>
      <c r="Z84" t="s">
        <v>2418</v>
      </c>
      <c r="AA84" t="s">
        <v>2419</v>
      </c>
      <c r="AB84" t="s">
        <v>2405</v>
      </c>
      <c r="AC84" t="s">
        <v>2420</v>
      </c>
      <c r="AD84" t="s">
        <v>2413</v>
      </c>
      <c r="AE84" t="s">
        <v>2401</v>
      </c>
      <c r="AF84" t="s">
        <v>2415</v>
      </c>
      <c r="AG84" t="s">
        <v>2418</v>
      </c>
      <c r="AH84" t="s">
        <v>2421</v>
      </c>
      <c r="AI84" t="s">
        <v>2403</v>
      </c>
      <c r="AJ84" t="s">
        <v>2401</v>
      </c>
      <c r="AK84" t="s">
        <v>2405</v>
      </c>
      <c r="AL84" t="s">
        <v>2422</v>
      </c>
      <c r="AM84" t="s">
        <v>2399</v>
      </c>
      <c r="AN84" t="s">
        <v>2423</v>
      </c>
      <c r="AO84" t="s">
        <v>2424</v>
      </c>
      <c r="AP84" t="s">
        <v>2425</v>
      </c>
    </row>
    <row r="85" spans="1:42" x14ac:dyDescent="0.25">
      <c r="A85" t="s">
        <v>2426</v>
      </c>
      <c r="B85" t="s">
        <v>2427</v>
      </c>
      <c r="C85" t="s">
        <v>2428</v>
      </c>
      <c r="D85" t="s">
        <v>2429</v>
      </c>
      <c r="E85" t="s">
        <v>2430</v>
      </c>
      <c r="F85" t="s">
        <v>2431</v>
      </c>
      <c r="G85" t="s">
        <v>2432</v>
      </c>
      <c r="H85" t="s">
        <v>2433</v>
      </c>
      <c r="I85" t="s">
        <v>2434</v>
      </c>
      <c r="J85" t="s">
        <v>2435</v>
      </c>
      <c r="K85" t="s">
        <v>2436</v>
      </c>
      <c r="L85" t="s">
        <v>2437</v>
      </c>
      <c r="M85" t="s">
        <v>2438</v>
      </c>
      <c r="N85" t="s">
        <v>2439</v>
      </c>
      <c r="O85" t="s">
        <v>2439</v>
      </c>
      <c r="P85" t="s">
        <v>2440</v>
      </c>
      <c r="Q85" t="s">
        <v>2441</v>
      </c>
      <c r="R85" t="s">
        <v>2442</v>
      </c>
      <c r="S85" t="s">
        <v>2443</v>
      </c>
      <c r="T85" t="s">
        <v>2444</v>
      </c>
      <c r="U85" t="s">
        <v>2445</v>
      </c>
      <c r="V85" t="s">
        <v>2446</v>
      </c>
      <c r="W85" t="s">
        <v>2426</v>
      </c>
      <c r="X85" t="s">
        <v>2447</v>
      </c>
      <c r="Y85" t="s">
        <v>2448</v>
      </c>
      <c r="Z85" t="s">
        <v>2431</v>
      </c>
      <c r="AA85" t="s">
        <v>2449</v>
      </c>
      <c r="AB85" t="s">
        <v>2450</v>
      </c>
      <c r="AC85" t="s">
        <v>2451</v>
      </c>
      <c r="AD85" t="s">
        <v>2452</v>
      </c>
      <c r="AE85" t="s">
        <v>2453</v>
      </c>
      <c r="AF85" t="s">
        <v>2426</v>
      </c>
      <c r="AG85" t="s">
        <v>2431</v>
      </c>
      <c r="AH85" t="s">
        <v>2436</v>
      </c>
      <c r="AI85" t="s">
        <v>2454</v>
      </c>
      <c r="AJ85" t="s">
        <v>2455</v>
      </c>
      <c r="AK85" t="s">
        <v>2437</v>
      </c>
      <c r="AL85" t="s">
        <v>2456</v>
      </c>
      <c r="AM85" t="s">
        <v>2457</v>
      </c>
      <c r="AN85" t="s">
        <v>2426</v>
      </c>
      <c r="AO85" t="s">
        <v>2431</v>
      </c>
      <c r="AP85" t="s">
        <v>2428</v>
      </c>
    </row>
    <row r="86" spans="1:42" x14ac:dyDescent="0.25">
      <c r="A86" t="s">
        <v>2458</v>
      </c>
      <c r="B86" t="s">
        <v>2459</v>
      </c>
      <c r="C86" t="s">
        <v>2460</v>
      </c>
      <c r="D86" t="s">
        <v>2461</v>
      </c>
      <c r="E86" t="s">
        <v>2462</v>
      </c>
      <c r="F86" t="s">
        <v>2463</v>
      </c>
      <c r="G86" t="s">
        <v>2464</v>
      </c>
      <c r="H86" t="s">
        <v>2465</v>
      </c>
      <c r="I86" t="s">
        <v>2466</v>
      </c>
      <c r="J86" t="s">
        <v>2467</v>
      </c>
      <c r="K86" t="s">
        <v>2468</v>
      </c>
      <c r="L86" t="s">
        <v>2469</v>
      </c>
      <c r="M86" t="s">
        <v>2470</v>
      </c>
      <c r="N86" t="s">
        <v>2471</v>
      </c>
      <c r="O86" t="s">
        <v>2471</v>
      </c>
      <c r="P86" t="s">
        <v>2472</v>
      </c>
      <c r="Q86" t="s">
        <v>2473</v>
      </c>
      <c r="R86" t="s">
        <v>2474</v>
      </c>
      <c r="S86" t="s">
        <v>2475</v>
      </c>
      <c r="T86" t="s">
        <v>2476</v>
      </c>
      <c r="U86" t="s">
        <v>2458</v>
      </c>
      <c r="V86" t="s">
        <v>2477</v>
      </c>
      <c r="W86" t="s">
        <v>2458</v>
      </c>
      <c r="X86" t="s">
        <v>2478</v>
      </c>
      <c r="Y86" t="s">
        <v>2467</v>
      </c>
      <c r="Z86" t="s">
        <v>2479</v>
      </c>
      <c r="AA86" t="s">
        <v>2480</v>
      </c>
      <c r="AB86" t="s">
        <v>2481</v>
      </c>
      <c r="AC86" t="s">
        <v>2482</v>
      </c>
      <c r="AD86" t="s">
        <v>2458</v>
      </c>
      <c r="AE86" t="s">
        <v>2483</v>
      </c>
      <c r="AF86" t="s">
        <v>2458</v>
      </c>
      <c r="AG86" t="s">
        <v>2484</v>
      </c>
      <c r="AH86" t="s">
        <v>2485</v>
      </c>
      <c r="AI86" t="s">
        <v>2486</v>
      </c>
      <c r="AJ86" t="s">
        <v>2458</v>
      </c>
      <c r="AK86" t="s">
        <v>2487</v>
      </c>
      <c r="AL86" t="s">
        <v>2488</v>
      </c>
      <c r="AM86" t="s">
        <v>2489</v>
      </c>
      <c r="AN86" t="s">
        <v>2490</v>
      </c>
      <c r="AO86" t="s">
        <v>2491</v>
      </c>
      <c r="AP86" t="s">
        <v>2492</v>
      </c>
    </row>
    <row r="87" spans="1:42" x14ac:dyDescent="0.25">
      <c r="A87" t="s">
        <v>2493</v>
      </c>
      <c r="B87" t="s">
        <v>2494</v>
      </c>
      <c r="C87" t="s">
        <v>2495</v>
      </c>
      <c r="D87" t="s">
        <v>2496</v>
      </c>
      <c r="E87" t="s">
        <v>2497</v>
      </c>
      <c r="F87" t="s">
        <v>2498</v>
      </c>
      <c r="G87" t="s">
        <v>2499</v>
      </c>
      <c r="H87" t="s">
        <v>2500</v>
      </c>
      <c r="I87" t="s">
        <v>2501</v>
      </c>
      <c r="J87" t="s">
        <v>2493</v>
      </c>
      <c r="K87" t="s">
        <v>2502</v>
      </c>
      <c r="L87" t="s">
        <v>2493</v>
      </c>
      <c r="M87" t="s">
        <v>2503</v>
      </c>
      <c r="N87" t="s">
        <v>2504</v>
      </c>
      <c r="O87" t="s">
        <v>2504</v>
      </c>
      <c r="P87" t="s">
        <v>2505</v>
      </c>
      <c r="Q87" t="s">
        <v>2506</v>
      </c>
      <c r="R87" t="s">
        <v>2507</v>
      </c>
      <c r="S87" t="s">
        <v>2508</v>
      </c>
      <c r="T87" t="s">
        <v>2509</v>
      </c>
      <c r="U87" t="s">
        <v>2510</v>
      </c>
      <c r="V87" t="s">
        <v>2511</v>
      </c>
      <c r="W87" t="s">
        <v>2512</v>
      </c>
      <c r="X87" t="s">
        <v>2513</v>
      </c>
      <c r="Y87" t="s">
        <v>2514</v>
      </c>
      <c r="Z87" t="s">
        <v>2515</v>
      </c>
      <c r="AA87" t="s">
        <v>2516</v>
      </c>
      <c r="AB87" t="s">
        <v>2493</v>
      </c>
      <c r="AC87" t="s">
        <v>2517</v>
      </c>
      <c r="AD87" t="s">
        <v>2494</v>
      </c>
      <c r="AE87" t="s">
        <v>2518</v>
      </c>
      <c r="AF87" t="s">
        <v>2519</v>
      </c>
      <c r="AG87" t="s">
        <v>2515</v>
      </c>
      <c r="AH87" t="s">
        <v>2520</v>
      </c>
      <c r="AI87" t="s">
        <v>2514</v>
      </c>
      <c r="AJ87" t="s">
        <v>2502</v>
      </c>
      <c r="AK87" t="s">
        <v>2506</v>
      </c>
      <c r="AL87" t="s">
        <v>2521</v>
      </c>
      <c r="AM87" t="s">
        <v>2522</v>
      </c>
      <c r="AN87" t="s">
        <v>2493</v>
      </c>
      <c r="AO87" t="s">
        <v>2523</v>
      </c>
      <c r="AP87" t="s">
        <v>2517</v>
      </c>
    </row>
    <row r="88" spans="1:42" x14ac:dyDescent="0.25">
      <c r="A88" t="s">
        <v>2524</v>
      </c>
      <c r="B88" t="s">
        <v>2525</v>
      </c>
      <c r="C88" t="s">
        <v>2526</v>
      </c>
      <c r="D88" t="s">
        <v>2527</v>
      </c>
      <c r="E88" t="s">
        <v>2528</v>
      </c>
      <c r="F88" t="s">
        <v>2529</v>
      </c>
      <c r="G88" t="s">
        <v>2530</v>
      </c>
      <c r="H88" t="s">
        <v>2531</v>
      </c>
      <c r="I88" t="s">
        <v>2532</v>
      </c>
      <c r="J88" t="s">
        <v>2533</v>
      </c>
      <c r="K88" t="s">
        <v>2533</v>
      </c>
      <c r="L88" t="s">
        <v>2524</v>
      </c>
      <c r="M88" t="s">
        <v>2524</v>
      </c>
      <c r="N88" t="s">
        <v>2530</v>
      </c>
      <c r="O88" t="s">
        <v>2530</v>
      </c>
      <c r="P88" t="s">
        <v>2534</v>
      </c>
      <c r="Q88" t="s">
        <v>2533</v>
      </c>
      <c r="R88" t="s">
        <v>2535</v>
      </c>
      <c r="S88" t="s">
        <v>2536</v>
      </c>
      <c r="T88" t="s">
        <v>2537</v>
      </c>
      <c r="U88" t="s">
        <v>2538</v>
      </c>
      <c r="V88" t="s">
        <v>2539</v>
      </c>
      <c r="W88" t="s">
        <v>2530</v>
      </c>
      <c r="X88" t="s">
        <v>2540</v>
      </c>
      <c r="Y88" t="s">
        <v>2541</v>
      </c>
      <c r="Z88" t="s">
        <v>2529</v>
      </c>
      <c r="AA88" t="s">
        <v>2542</v>
      </c>
      <c r="AB88" t="s">
        <v>2533</v>
      </c>
      <c r="AC88" t="s">
        <v>2543</v>
      </c>
      <c r="AD88" t="s">
        <v>2544</v>
      </c>
      <c r="AE88" t="s">
        <v>2530</v>
      </c>
      <c r="AF88" t="s">
        <v>2530</v>
      </c>
      <c r="AG88" t="s">
        <v>2529</v>
      </c>
      <c r="AH88" t="s">
        <v>2533</v>
      </c>
      <c r="AI88" t="s">
        <v>2533</v>
      </c>
      <c r="AJ88" t="s">
        <v>2530</v>
      </c>
      <c r="AK88" t="s">
        <v>2533</v>
      </c>
      <c r="AL88" t="s">
        <v>2545</v>
      </c>
      <c r="AM88" t="s">
        <v>2546</v>
      </c>
      <c r="AN88" t="s">
        <v>2547</v>
      </c>
      <c r="AO88" t="s">
        <v>2529</v>
      </c>
      <c r="AP88" t="s">
        <v>2548</v>
      </c>
    </row>
    <row r="89" spans="1:42" x14ac:dyDescent="0.25">
      <c r="A89" t="s">
        <v>2549</v>
      </c>
      <c r="B89" t="s">
        <v>2550</v>
      </c>
      <c r="C89" t="s">
        <v>2551</v>
      </c>
      <c r="D89" t="s">
        <v>2552</v>
      </c>
      <c r="E89" t="s">
        <v>2553</v>
      </c>
      <c r="F89" t="s">
        <v>2554</v>
      </c>
      <c r="G89" t="s">
        <v>2549</v>
      </c>
      <c r="H89" t="s">
        <v>2555</v>
      </c>
      <c r="I89" t="s">
        <v>2556</v>
      </c>
      <c r="J89" t="s">
        <v>2549</v>
      </c>
      <c r="K89" t="s">
        <v>2557</v>
      </c>
      <c r="L89" t="s">
        <v>2558</v>
      </c>
      <c r="M89" t="s">
        <v>2559</v>
      </c>
      <c r="N89" t="s">
        <v>2560</v>
      </c>
      <c r="O89" t="s">
        <v>2560</v>
      </c>
      <c r="P89" t="s">
        <v>2561</v>
      </c>
      <c r="Q89" t="s">
        <v>2558</v>
      </c>
      <c r="R89" t="s">
        <v>2562</v>
      </c>
      <c r="S89" t="s">
        <v>2563</v>
      </c>
      <c r="T89" t="s">
        <v>2564</v>
      </c>
      <c r="U89" t="s">
        <v>2549</v>
      </c>
      <c r="V89" t="s">
        <v>2565</v>
      </c>
      <c r="W89" t="s">
        <v>2549</v>
      </c>
      <c r="X89" t="s">
        <v>2566</v>
      </c>
      <c r="Y89" t="s">
        <v>2567</v>
      </c>
      <c r="Z89" t="s">
        <v>2554</v>
      </c>
      <c r="AA89" t="s">
        <v>2568</v>
      </c>
      <c r="AB89" t="s">
        <v>2558</v>
      </c>
      <c r="AC89" t="s">
        <v>2569</v>
      </c>
      <c r="AD89" t="s">
        <v>2549</v>
      </c>
      <c r="AE89" t="s">
        <v>2570</v>
      </c>
      <c r="AF89" t="s">
        <v>2549</v>
      </c>
      <c r="AG89" t="s">
        <v>2554</v>
      </c>
      <c r="AH89" t="s">
        <v>2549</v>
      </c>
      <c r="AI89" t="s">
        <v>2549</v>
      </c>
      <c r="AJ89" t="s">
        <v>2557</v>
      </c>
      <c r="AK89" t="s">
        <v>2549</v>
      </c>
      <c r="AL89" t="s">
        <v>2571</v>
      </c>
      <c r="AM89" t="s">
        <v>2572</v>
      </c>
      <c r="AN89" t="s">
        <v>2549</v>
      </c>
      <c r="AO89" t="s">
        <v>2554</v>
      </c>
      <c r="AP89" t="s">
        <v>2569</v>
      </c>
    </row>
    <row r="90" spans="1:42" x14ac:dyDescent="0.25">
      <c r="A90" t="s">
        <v>2573</v>
      </c>
      <c r="B90" t="s">
        <v>2574</v>
      </c>
      <c r="C90" t="s">
        <v>2575</v>
      </c>
      <c r="D90" t="s">
        <v>2576</v>
      </c>
      <c r="E90" t="s">
        <v>2577</v>
      </c>
      <c r="F90" t="s">
        <v>2578</v>
      </c>
      <c r="G90" t="s">
        <v>2579</v>
      </c>
      <c r="H90" t="s">
        <v>2580</v>
      </c>
      <c r="I90" t="s">
        <v>2581</v>
      </c>
      <c r="J90" t="s">
        <v>2582</v>
      </c>
      <c r="K90" t="s">
        <v>2583</v>
      </c>
      <c r="L90" t="s">
        <v>2573</v>
      </c>
      <c r="M90" t="s">
        <v>2573</v>
      </c>
      <c r="N90" t="s">
        <v>2584</v>
      </c>
      <c r="O90" t="s">
        <v>2584</v>
      </c>
      <c r="P90" t="s">
        <v>2585</v>
      </c>
      <c r="Q90" t="s">
        <v>2586</v>
      </c>
      <c r="R90" t="s">
        <v>2587</v>
      </c>
      <c r="S90" t="s">
        <v>2588</v>
      </c>
      <c r="T90" t="s">
        <v>2573</v>
      </c>
      <c r="U90" t="s">
        <v>2574</v>
      </c>
      <c r="V90" t="s">
        <v>2589</v>
      </c>
      <c r="W90" t="s">
        <v>2573</v>
      </c>
      <c r="X90" t="s">
        <v>2590</v>
      </c>
      <c r="Y90" t="s">
        <v>2582</v>
      </c>
      <c r="Z90" t="s">
        <v>2591</v>
      </c>
      <c r="AA90" t="s">
        <v>2592</v>
      </c>
      <c r="AB90" t="s">
        <v>2573</v>
      </c>
      <c r="AC90" t="s">
        <v>2593</v>
      </c>
      <c r="AD90" t="s">
        <v>2574</v>
      </c>
      <c r="AE90" t="s">
        <v>2594</v>
      </c>
      <c r="AF90" t="s">
        <v>2595</v>
      </c>
      <c r="AG90" t="s">
        <v>2591</v>
      </c>
      <c r="AH90" t="s">
        <v>2574</v>
      </c>
      <c r="AI90" t="s">
        <v>2582</v>
      </c>
      <c r="AJ90" t="s">
        <v>2573</v>
      </c>
      <c r="AK90" t="s">
        <v>2573</v>
      </c>
      <c r="AL90" t="s">
        <v>2596</v>
      </c>
      <c r="AM90" t="s">
        <v>2597</v>
      </c>
      <c r="AN90" t="s">
        <v>2573</v>
      </c>
      <c r="AO90" t="s">
        <v>2598</v>
      </c>
      <c r="AP90" t="s">
        <v>2599</v>
      </c>
    </row>
    <row r="91" spans="1:42" x14ac:dyDescent="0.25">
      <c r="A91" t="s">
        <v>2600</v>
      </c>
      <c r="B91" t="s">
        <v>2600</v>
      </c>
      <c r="C91" t="s">
        <v>2601</v>
      </c>
      <c r="D91" t="s">
        <v>2602</v>
      </c>
      <c r="E91" t="s">
        <v>2600</v>
      </c>
      <c r="F91" t="s">
        <v>2603</v>
      </c>
      <c r="G91" t="s">
        <v>2604</v>
      </c>
      <c r="H91" t="s">
        <v>2605</v>
      </c>
      <c r="I91" t="s">
        <v>2606</v>
      </c>
      <c r="J91" t="s">
        <v>2600</v>
      </c>
      <c r="K91" t="s">
        <v>2600</v>
      </c>
      <c r="L91" t="s">
        <v>2600</v>
      </c>
      <c r="M91" t="s">
        <v>2600</v>
      </c>
      <c r="N91" t="s">
        <v>2600</v>
      </c>
      <c r="O91" t="s">
        <v>2600</v>
      </c>
      <c r="P91" t="s">
        <v>2607</v>
      </c>
      <c r="Q91" t="s">
        <v>2600</v>
      </c>
      <c r="R91" t="s">
        <v>2608</v>
      </c>
      <c r="S91" t="s">
        <v>2609</v>
      </c>
      <c r="T91" t="s">
        <v>2600</v>
      </c>
      <c r="U91" t="s">
        <v>2600</v>
      </c>
      <c r="V91" t="s">
        <v>2600</v>
      </c>
      <c r="W91" t="s">
        <v>2600</v>
      </c>
      <c r="X91" t="s">
        <v>2610</v>
      </c>
      <c r="Y91" t="s">
        <v>2600</v>
      </c>
      <c r="Z91" t="s">
        <v>2603</v>
      </c>
      <c r="AA91" t="s">
        <v>2611</v>
      </c>
      <c r="AB91" t="s">
        <v>2600</v>
      </c>
      <c r="AC91" t="s">
        <v>2612</v>
      </c>
      <c r="AD91" t="s">
        <v>2600</v>
      </c>
      <c r="AE91" t="s">
        <v>2613</v>
      </c>
      <c r="AF91" t="s">
        <v>2600</v>
      </c>
      <c r="AG91" t="s">
        <v>2603</v>
      </c>
      <c r="AH91" t="s">
        <v>2600</v>
      </c>
      <c r="AI91" t="s">
        <v>2600</v>
      </c>
      <c r="AJ91" t="s">
        <v>2613</v>
      </c>
      <c r="AK91" t="s">
        <v>2600</v>
      </c>
      <c r="AL91" t="s">
        <v>2614</v>
      </c>
      <c r="AM91" t="s">
        <v>2600</v>
      </c>
      <c r="AN91" t="s">
        <v>2600</v>
      </c>
      <c r="AO91" t="s">
        <v>2603</v>
      </c>
      <c r="AP91" t="s">
        <v>2615</v>
      </c>
    </row>
    <row r="112" spans="1:42" x14ac:dyDescent="0.25">
      <c r="A112" t="s">
        <v>2616</v>
      </c>
      <c r="B112" t="s">
        <v>2616</v>
      </c>
      <c r="C112" t="s">
        <v>2616</v>
      </c>
      <c r="D112" t="s">
        <v>2616</v>
      </c>
      <c r="E112" t="s">
        <v>2616</v>
      </c>
      <c r="F112" t="s">
        <v>2616</v>
      </c>
      <c r="G112" t="s">
        <v>2616</v>
      </c>
      <c r="H112" t="s">
        <v>2616</v>
      </c>
      <c r="I112" t="s">
        <v>2616</v>
      </c>
      <c r="J112" t="s">
        <v>2616</v>
      </c>
      <c r="K112" t="s">
        <v>2616</v>
      </c>
      <c r="L112" t="s">
        <v>2616</v>
      </c>
      <c r="M112" t="s">
        <v>2617</v>
      </c>
      <c r="N112" t="s">
        <v>2616</v>
      </c>
      <c r="O112" t="s">
        <v>2616</v>
      </c>
      <c r="P112" t="s">
        <v>2616</v>
      </c>
      <c r="Q112" t="s">
        <v>2616</v>
      </c>
      <c r="R112" t="s">
        <v>2616</v>
      </c>
      <c r="S112" t="s">
        <v>2616</v>
      </c>
      <c r="T112" t="s">
        <v>2616</v>
      </c>
      <c r="U112" t="s">
        <v>2616</v>
      </c>
      <c r="V112" t="s">
        <v>2616</v>
      </c>
      <c r="W112" t="s">
        <v>2616</v>
      </c>
      <c r="X112" t="s">
        <v>2618</v>
      </c>
      <c r="Y112" t="s">
        <v>2616</v>
      </c>
      <c r="Z112" t="s">
        <v>2616</v>
      </c>
      <c r="AA112" t="s">
        <v>2616</v>
      </c>
      <c r="AB112" t="s">
        <v>2616</v>
      </c>
      <c r="AC112" t="s">
        <v>2619</v>
      </c>
      <c r="AD112" t="s">
        <v>2616</v>
      </c>
      <c r="AE112" t="s">
        <v>2616</v>
      </c>
      <c r="AF112" t="s">
        <v>2616</v>
      </c>
      <c r="AG112" t="s">
        <v>2616</v>
      </c>
      <c r="AH112" t="s">
        <v>2616</v>
      </c>
      <c r="AI112" t="s">
        <v>2616</v>
      </c>
      <c r="AJ112" t="s">
        <v>2616</v>
      </c>
      <c r="AK112" t="s">
        <v>2616</v>
      </c>
      <c r="AL112" t="s">
        <v>2620</v>
      </c>
      <c r="AM112" t="s">
        <v>2617</v>
      </c>
      <c r="AN112" t="s">
        <v>2616</v>
      </c>
      <c r="AO112" t="s">
        <v>2616</v>
      </c>
      <c r="AP112" t="s">
        <v>2621</v>
      </c>
    </row>
    <row r="113" spans="1:42" x14ac:dyDescent="0.25">
      <c r="A113" t="s">
        <v>2622</v>
      </c>
      <c r="B113" t="s">
        <v>2622</v>
      </c>
      <c r="C113" t="s">
        <v>2622</v>
      </c>
      <c r="D113" t="s">
        <v>2622</v>
      </c>
      <c r="E113" t="s">
        <v>2622</v>
      </c>
      <c r="F113" t="s">
        <v>2622</v>
      </c>
      <c r="G113" t="s">
        <v>2622</v>
      </c>
      <c r="H113" t="s">
        <v>2622</v>
      </c>
      <c r="I113" t="s">
        <v>2622</v>
      </c>
      <c r="J113" t="s">
        <v>2622</v>
      </c>
      <c r="K113" t="s">
        <v>2622</v>
      </c>
      <c r="L113" t="s">
        <v>2622</v>
      </c>
      <c r="M113" t="s">
        <v>2623</v>
      </c>
      <c r="N113" t="s">
        <v>2622</v>
      </c>
      <c r="O113" t="s">
        <v>2622</v>
      </c>
      <c r="P113" t="s">
        <v>2622</v>
      </c>
      <c r="Q113" t="s">
        <v>2622</v>
      </c>
      <c r="R113" t="s">
        <v>2622</v>
      </c>
      <c r="S113" t="s">
        <v>2622</v>
      </c>
      <c r="T113" t="s">
        <v>2622</v>
      </c>
      <c r="U113" t="s">
        <v>2622</v>
      </c>
      <c r="V113" t="s">
        <v>2622</v>
      </c>
      <c r="W113" t="s">
        <v>2622</v>
      </c>
      <c r="X113" t="s">
        <v>2624</v>
      </c>
      <c r="Y113" t="s">
        <v>2622</v>
      </c>
      <c r="Z113" t="s">
        <v>2622</v>
      </c>
      <c r="AA113" t="s">
        <v>2622</v>
      </c>
      <c r="AB113" t="s">
        <v>2622</v>
      </c>
      <c r="AC113" t="s">
        <v>2625</v>
      </c>
      <c r="AD113" t="s">
        <v>2622</v>
      </c>
      <c r="AE113" t="s">
        <v>2622</v>
      </c>
      <c r="AF113" t="s">
        <v>2622</v>
      </c>
      <c r="AG113" t="s">
        <v>2622</v>
      </c>
      <c r="AH113" t="s">
        <v>2622</v>
      </c>
      <c r="AI113" t="s">
        <v>2622</v>
      </c>
      <c r="AJ113" t="s">
        <v>2622</v>
      </c>
      <c r="AK113" t="s">
        <v>2622</v>
      </c>
      <c r="AL113" t="s">
        <v>2626</v>
      </c>
      <c r="AM113" t="s">
        <v>2623</v>
      </c>
      <c r="AN113" t="s">
        <v>2622</v>
      </c>
      <c r="AO113" t="s">
        <v>2622</v>
      </c>
      <c r="AP113" t="s">
        <v>2627</v>
      </c>
    </row>
    <row r="114" spans="1:42" x14ac:dyDescent="0.25">
      <c r="A114" t="s">
        <v>2628</v>
      </c>
      <c r="B114" t="s">
        <v>2628</v>
      </c>
      <c r="C114" t="s">
        <v>2628</v>
      </c>
      <c r="D114" t="s">
        <v>2628</v>
      </c>
      <c r="E114" t="s">
        <v>2628</v>
      </c>
      <c r="F114" t="s">
        <v>2628</v>
      </c>
      <c r="G114" t="s">
        <v>2628</v>
      </c>
      <c r="H114" t="s">
        <v>2628</v>
      </c>
      <c r="I114" t="s">
        <v>2628</v>
      </c>
      <c r="J114" t="s">
        <v>2628</v>
      </c>
      <c r="K114" t="s">
        <v>2628</v>
      </c>
      <c r="L114" t="s">
        <v>2628</v>
      </c>
      <c r="M114" t="s">
        <v>2629</v>
      </c>
      <c r="N114" t="s">
        <v>2628</v>
      </c>
      <c r="O114" t="s">
        <v>2628</v>
      </c>
      <c r="P114" t="s">
        <v>2628</v>
      </c>
      <c r="Q114" t="s">
        <v>2628</v>
      </c>
      <c r="R114" t="s">
        <v>2628</v>
      </c>
      <c r="S114" t="s">
        <v>2628</v>
      </c>
      <c r="T114" t="s">
        <v>2628</v>
      </c>
      <c r="U114" t="s">
        <v>2628</v>
      </c>
      <c r="V114" t="s">
        <v>2628</v>
      </c>
      <c r="W114" t="s">
        <v>2628</v>
      </c>
      <c r="X114" t="s">
        <v>2630</v>
      </c>
      <c r="Y114" t="s">
        <v>2628</v>
      </c>
      <c r="Z114" t="s">
        <v>2628</v>
      </c>
      <c r="AA114" t="s">
        <v>2628</v>
      </c>
      <c r="AB114" t="s">
        <v>2628</v>
      </c>
      <c r="AC114" t="s">
        <v>2631</v>
      </c>
      <c r="AD114" t="s">
        <v>2628</v>
      </c>
      <c r="AE114" t="s">
        <v>2628</v>
      </c>
      <c r="AF114" t="s">
        <v>2628</v>
      </c>
      <c r="AG114" t="s">
        <v>2628</v>
      </c>
      <c r="AH114" t="s">
        <v>2628</v>
      </c>
      <c r="AI114" t="s">
        <v>2628</v>
      </c>
      <c r="AJ114" t="s">
        <v>2628</v>
      </c>
      <c r="AK114" t="s">
        <v>2628</v>
      </c>
      <c r="AL114" t="s">
        <v>2632</v>
      </c>
      <c r="AM114" t="s">
        <v>2629</v>
      </c>
      <c r="AN114" t="s">
        <v>2628</v>
      </c>
      <c r="AO114" t="s">
        <v>2628</v>
      </c>
      <c r="AP114" t="s">
        <v>2633</v>
      </c>
    </row>
    <row r="115" spans="1:42" x14ac:dyDescent="0.25">
      <c r="A115" t="s">
        <v>2634</v>
      </c>
      <c r="B115" t="s">
        <v>2634</v>
      </c>
      <c r="C115" t="s">
        <v>2634</v>
      </c>
      <c r="D115" t="s">
        <v>2634</v>
      </c>
      <c r="E115" t="s">
        <v>2634</v>
      </c>
      <c r="F115" t="s">
        <v>2634</v>
      </c>
      <c r="G115" t="s">
        <v>2634</v>
      </c>
      <c r="H115" t="s">
        <v>2634</v>
      </c>
      <c r="I115" t="s">
        <v>2634</v>
      </c>
      <c r="J115" t="s">
        <v>2634</v>
      </c>
      <c r="K115" t="s">
        <v>2634</v>
      </c>
      <c r="L115" t="s">
        <v>2634</v>
      </c>
      <c r="M115" t="s">
        <v>2635</v>
      </c>
      <c r="N115" t="s">
        <v>2634</v>
      </c>
      <c r="O115" t="s">
        <v>2634</v>
      </c>
      <c r="P115" t="s">
        <v>2634</v>
      </c>
      <c r="Q115" t="s">
        <v>2634</v>
      </c>
      <c r="R115" t="s">
        <v>2634</v>
      </c>
      <c r="S115" t="s">
        <v>2634</v>
      </c>
      <c r="T115" t="s">
        <v>2634</v>
      </c>
      <c r="U115" t="s">
        <v>2634</v>
      </c>
      <c r="V115" t="s">
        <v>2634</v>
      </c>
      <c r="W115" t="s">
        <v>2634</v>
      </c>
      <c r="X115" t="s">
        <v>2636</v>
      </c>
      <c r="Y115" t="s">
        <v>2634</v>
      </c>
      <c r="Z115" t="s">
        <v>2634</v>
      </c>
      <c r="AA115" t="s">
        <v>2634</v>
      </c>
      <c r="AB115" t="s">
        <v>2634</v>
      </c>
      <c r="AC115" t="s">
        <v>2637</v>
      </c>
      <c r="AD115" t="s">
        <v>2634</v>
      </c>
      <c r="AE115" t="s">
        <v>2634</v>
      </c>
      <c r="AF115" t="s">
        <v>2634</v>
      </c>
      <c r="AG115" t="s">
        <v>2634</v>
      </c>
      <c r="AH115" t="s">
        <v>2634</v>
      </c>
      <c r="AI115" t="s">
        <v>2634</v>
      </c>
      <c r="AJ115" t="s">
        <v>2634</v>
      </c>
      <c r="AK115" t="s">
        <v>2634</v>
      </c>
      <c r="AL115" t="s">
        <v>2638</v>
      </c>
      <c r="AM115" t="s">
        <v>2635</v>
      </c>
      <c r="AN115" t="s">
        <v>2634</v>
      </c>
      <c r="AO115" t="s">
        <v>2634</v>
      </c>
      <c r="AP115" t="s">
        <v>2639</v>
      </c>
    </row>
    <row r="116" spans="1:42" x14ac:dyDescent="0.25">
      <c r="A116" t="s">
        <v>2640</v>
      </c>
      <c r="B116" t="s">
        <v>2640</v>
      </c>
      <c r="C116" t="s">
        <v>2640</v>
      </c>
      <c r="D116" t="s">
        <v>2640</v>
      </c>
      <c r="E116" t="s">
        <v>2640</v>
      </c>
      <c r="F116" t="s">
        <v>2640</v>
      </c>
      <c r="G116" t="s">
        <v>2640</v>
      </c>
      <c r="H116" t="s">
        <v>2640</v>
      </c>
      <c r="I116" t="s">
        <v>2640</v>
      </c>
      <c r="J116" t="s">
        <v>2640</v>
      </c>
      <c r="K116" t="s">
        <v>2640</v>
      </c>
      <c r="L116" t="s">
        <v>2640</v>
      </c>
      <c r="M116" t="s">
        <v>2641</v>
      </c>
      <c r="N116" t="s">
        <v>2640</v>
      </c>
      <c r="O116" t="s">
        <v>2640</v>
      </c>
      <c r="P116" t="s">
        <v>2640</v>
      </c>
      <c r="Q116" t="s">
        <v>2640</v>
      </c>
      <c r="R116" t="s">
        <v>2642</v>
      </c>
      <c r="S116" t="s">
        <v>2640</v>
      </c>
      <c r="T116" t="s">
        <v>2640</v>
      </c>
      <c r="U116" t="s">
        <v>2640</v>
      </c>
      <c r="V116" t="s">
        <v>2640</v>
      </c>
      <c r="W116" t="s">
        <v>2640</v>
      </c>
      <c r="X116" t="s">
        <v>2643</v>
      </c>
      <c r="Y116" t="s">
        <v>2640</v>
      </c>
      <c r="Z116" t="s">
        <v>2640</v>
      </c>
      <c r="AA116" t="s">
        <v>2644</v>
      </c>
      <c r="AB116" t="s">
        <v>2640</v>
      </c>
      <c r="AC116" t="s">
        <v>2645</v>
      </c>
      <c r="AD116" t="s">
        <v>2640</v>
      </c>
      <c r="AE116" t="s">
        <v>2640</v>
      </c>
      <c r="AF116" t="s">
        <v>2640</v>
      </c>
      <c r="AG116" t="s">
        <v>2640</v>
      </c>
      <c r="AH116" t="s">
        <v>2640</v>
      </c>
      <c r="AI116" t="s">
        <v>2640</v>
      </c>
      <c r="AJ116" t="s">
        <v>2640</v>
      </c>
      <c r="AK116" t="s">
        <v>2640</v>
      </c>
      <c r="AL116" t="s">
        <v>2646</v>
      </c>
      <c r="AM116" t="s">
        <v>2641</v>
      </c>
      <c r="AN116" t="s">
        <v>2640</v>
      </c>
      <c r="AO116" t="s">
        <v>2640</v>
      </c>
      <c r="AP116" t="s">
        <v>2647</v>
      </c>
    </row>
    <row r="117" spans="1:42" x14ac:dyDescent="0.25">
      <c r="A117" t="s">
        <v>2648</v>
      </c>
      <c r="B117" t="s">
        <v>2648</v>
      </c>
      <c r="C117" t="s">
        <v>2648</v>
      </c>
      <c r="D117" t="s">
        <v>2648</v>
      </c>
      <c r="E117" t="s">
        <v>2648</v>
      </c>
      <c r="F117" t="s">
        <v>2648</v>
      </c>
      <c r="G117" t="s">
        <v>2648</v>
      </c>
      <c r="H117" t="s">
        <v>2648</v>
      </c>
      <c r="I117" t="s">
        <v>2648</v>
      </c>
      <c r="J117" t="s">
        <v>2648</v>
      </c>
      <c r="K117" t="s">
        <v>2648</v>
      </c>
      <c r="L117" t="s">
        <v>2648</v>
      </c>
      <c r="M117" t="s">
        <v>2649</v>
      </c>
      <c r="N117" t="s">
        <v>2648</v>
      </c>
      <c r="O117" t="s">
        <v>2648</v>
      </c>
      <c r="P117" t="s">
        <v>2648</v>
      </c>
      <c r="Q117" t="s">
        <v>2648</v>
      </c>
      <c r="R117" t="s">
        <v>2650</v>
      </c>
      <c r="S117" t="s">
        <v>2648</v>
      </c>
      <c r="T117" t="s">
        <v>2648</v>
      </c>
      <c r="U117" t="s">
        <v>2648</v>
      </c>
      <c r="V117" t="s">
        <v>2648</v>
      </c>
      <c r="W117" t="s">
        <v>2648</v>
      </c>
      <c r="X117" t="s">
        <v>2651</v>
      </c>
      <c r="Y117" t="s">
        <v>2648</v>
      </c>
      <c r="Z117" t="s">
        <v>2648</v>
      </c>
      <c r="AA117" t="s">
        <v>2652</v>
      </c>
      <c r="AB117" t="s">
        <v>2648</v>
      </c>
      <c r="AC117" t="s">
        <v>2653</v>
      </c>
      <c r="AD117" t="s">
        <v>2648</v>
      </c>
      <c r="AE117" t="s">
        <v>2648</v>
      </c>
      <c r="AF117" t="s">
        <v>2648</v>
      </c>
      <c r="AG117" t="s">
        <v>2648</v>
      </c>
      <c r="AH117" t="s">
        <v>2648</v>
      </c>
      <c r="AI117" t="s">
        <v>2648</v>
      </c>
      <c r="AJ117" t="s">
        <v>2648</v>
      </c>
      <c r="AK117" t="s">
        <v>2648</v>
      </c>
      <c r="AL117" t="s">
        <v>2654</v>
      </c>
      <c r="AM117" t="s">
        <v>2649</v>
      </c>
      <c r="AN117" t="s">
        <v>2648</v>
      </c>
      <c r="AO117" t="s">
        <v>2648</v>
      </c>
      <c r="AP117" t="s">
        <v>2655</v>
      </c>
    </row>
    <row r="118" spans="1:42" x14ac:dyDescent="0.25">
      <c r="A118" t="s">
        <v>2656</v>
      </c>
      <c r="B118" t="s">
        <v>2656</v>
      </c>
      <c r="C118" t="s">
        <v>2656</v>
      </c>
      <c r="D118" t="s">
        <v>2656</v>
      </c>
      <c r="E118" t="s">
        <v>2656</v>
      </c>
      <c r="F118" t="s">
        <v>2656</v>
      </c>
      <c r="G118" t="s">
        <v>2656</v>
      </c>
      <c r="H118" t="s">
        <v>2656</v>
      </c>
      <c r="I118" t="s">
        <v>2656</v>
      </c>
      <c r="J118" t="s">
        <v>2656</v>
      </c>
      <c r="K118" t="s">
        <v>2656</v>
      </c>
      <c r="L118" t="s">
        <v>2656</v>
      </c>
      <c r="M118" t="s">
        <v>2657</v>
      </c>
      <c r="N118" t="s">
        <v>2656</v>
      </c>
      <c r="O118" t="s">
        <v>2656</v>
      </c>
      <c r="P118" t="s">
        <v>2656</v>
      </c>
      <c r="Q118" t="s">
        <v>2656</v>
      </c>
      <c r="R118" t="s">
        <v>2658</v>
      </c>
      <c r="S118" t="s">
        <v>2656</v>
      </c>
      <c r="T118" t="s">
        <v>2656</v>
      </c>
      <c r="U118" t="s">
        <v>2656</v>
      </c>
      <c r="V118" t="s">
        <v>2656</v>
      </c>
      <c r="W118" t="s">
        <v>2656</v>
      </c>
      <c r="X118" t="s">
        <v>2659</v>
      </c>
      <c r="Y118" t="s">
        <v>2656</v>
      </c>
      <c r="Z118" t="s">
        <v>2656</v>
      </c>
      <c r="AA118" t="s">
        <v>2656</v>
      </c>
      <c r="AB118" t="s">
        <v>2656</v>
      </c>
      <c r="AC118" t="s">
        <v>2660</v>
      </c>
      <c r="AD118" t="s">
        <v>2656</v>
      </c>
      <c r="AE118" t="s">
        <v>2656</v>
      </c>
      <c r="AF118" t="s">
        <v>2656</v>
      </c>
      <c r="AG118" t="s">
        <v>2656</v>
      </c>
      <c r="AH118" t="s">
        <v>2656</v>
      </c>
      <c r="AI118" t="s">
        <v>2656</v>
      </c>
      <c r="AJ118" t="s">
        <v>2656</v>
      </c>
      <c r="AK118" t="s">
        <v>2656</v>
      </c>
      <c r="AL118" t="s">
        <v>2661</v>
      </c>
      <c r="AM118" t="s">
        <v>2657</v>
      </c>
      <c r="AN118" t="s">
        <v>2656</v>
      </c>
      <c r="AO118" t="s">
        <v>2656</v>
      </c>
      <c r="AP118" t="s">
        <v>2662</v>
      </c>
    </row>
    <row r="119" spans="1:42" x14ac:dyDescent="0.25">
      <c r="A119" t="s">
        <v>2663</v>
      </c>
      <c r="B119" t="s">
        <v>2663</v>
      </c>
      <c r="C119" t="s">
        <v>2663</v>
      </c>
      <c r="D119" t="s">
        <v>2663</v>
      </c>
      <c r="E119" t="s">
        <v>2663</v>
      </c>
      <c r="F119" t="s">
        <v>2663</v>
      </c>
      <c r="G119" t="s">
        <v>2663</v>
      </c>
      <c r="H119" t="s">
        <v>2663</v>
      </c>
      <c r="I119" t="s">
        <v>2663</v>
      </c>
      <c r="J119" t="s">
        <v>2663</v>
      </c>
      <c r="K119" t="s">
        <v>2663</v>
      </c>
      <c r="L119" t="s">
        <v>2663</v>
      </c>
      <c r="M119" t="s">
        <v>2664</v>
      </c>
      <c r="N119" t="s">
        <v>2663</v>
      </c>
      <c r="O119" t="s">
        <v>2663</v>
      </c>
      <c r="P119" t="s">
        <v>2663</v>
      </c>
      <c r="Q119" t="s">
        <v>2663</v>
      </c>
      <c r="R119" t="s">
        <v>2665</v>
      </c>
      <c r="S119" t="s">
        <v>2663</v>
      </c>
      <c r="T119" t="s">
        <v>2663</v>
      </c>
      <c r="U119" t="s">
        <v>2663</v>
      </c>
      <c r="V119" t="s">
        <v>2663</v>
      </c>
      <c r="W119" t="s">
        <v>2663</v>
      </c>
      <c r="X119" t="s">
        <v>2666</v>
      </c>
      <c r="Y119" t="s">
        <v>2663</v>
      </c>
      <c r="Z119" t="s">
        <v>2663</v>
      </c>
      <c r="AA119" t="s">
        <v>2663</v>
      </c>
      <c r="AB119" t="s">
        <v>2663</v>
      </c>
      <c r="AC119" t="s">
        <v>2667</v>
      </c>
      <c r="AD119" t="s">
        <v>2663</v>
      </c>
      <c r="AE119" t="s">
        <v>2663</v>
      </c>
      <c r="AF119" t="s">
        <v>2663</v>
      </c>
      <c r="AG119" t="s">
        <v>2663</v>
      </c>
      <c r="AH119" t="s">
        <v>2663</v>
      </c>
      <c r="AI119" t="s">
        <v>2663</v>
      </c>
      <c r="AJ119" t="s">
        <v>2663</v>
      </c>
      <c r="AK119" t="s">
        <v>2663</v>
      </c>
      <c r="AL119" t="s">
        <v>2668</v>
      </c>
      <c r="AM119" t="s">
        <v>2664</v>
      </c>
      <c r="AN119" t="s">
        <v>2663</v>
      </c>
      <c r="AO119" t="s">
        <v>2663</v>
      </c>
      <c r="AP119" t="s">
        <v>2669</v>
      </c>
    </row>
    <row r="120" spans="1:42" x14ac:dyDescent="0.25">
      <c r="A120" t="s">
        <v>2670</v>
      </c>
      <c r="B120" t="s">
        <v>2670</v>
      </c>
      <c r="C120" t="s">
        <v>2670</v>
      </c>
      <c r="D120" t="s">
        <v>2670</v>
      </c>
      <c r="E120" t="s">
        <v>2670</v>
      </c>
      <c r="F120" t="s">
        <v>2670</v>
      </c>
      <c r="G120" t="s">
        <v>2670</v>
      </c>
      <c r="H120" t="s">
        <v>2670</v>
      </c>
      <c r="I120" t="s">
        <v>2670</v>
      </c>
      <c r="J120" t="s">
        <v>2670</v>
      </c>
      <c r="K120" t="s">
        <v>2670</v>
      </c>
      <c r="L120" t="s">
        <v>2670</v>
      </c>
      <c r="M120" t="s">
        <v>2671</v>
      </c>
      <c r="N120" t="s">
        <v>2670</v>
      </c>
      <c r="O120" t="s">
        <v>2670</v>
      </c>
      <c r="P120" t="s">
        <v>2670</v>
      </c>
      <c r="Q120" t="s">
        <v>2670</v>
      </c>
      <c r="R120" t="s">
        <v>2672</v>
      </c>
      <c r="S120" t="s">
        <v>2670</v>
      </c>
      <c r="T120" t="s">
        <v>2670</v>
      </c>
      <c r="U120" t="s">
        <v>2670</v>
      </c>
      <c r="V120" t="s">
        <v>2670</v>
      </c>
      <c r="W120" t="s">
        <v>2670</v>
      </c>
      <c r="X120" t="s">
        <v>2673</v>
      </c>
      <c r="Y120" t="s">
        <v>2670</v>
      </c>
      <c r="Z120" t="s">
        <v>2670</v>
      </c>
      <c r="AA120" t="s">
        <v>2670</v>
      </c>
      <c r="AB120" t="s">
        <v>2670</v>
      </c>
      <c r="AC120" t="s">
        <v>2674</v>
      </c>
      <c r="AD120" t="s">
        <v>2670</v>
      </c>
      <c r="AE120" t="s">
        <v>2670</v>
      </c>
      <c r="AF120" t="s">
        <v>2670</v>
      </c>
      <c r="AG120" t="s">
        <v>2670</v>
      </c>
      <c r="AH120" t="s">
        <v>2670</v>
      </c>
      <c r="AI120" t="s">
        <v>2670</v>
      </c>
      <c r="AJ120" t="s">
        <v>2670</v>
      </c>
      <c r="AK120" t="s">
        <v>2670</v>
      </c>
      <c r="AL120" t="s">
        <v>2675</v>
      </c>
      <c r="AM120" t="s">
        <v>2671</v>
      </c>
      <c r="AN120" t="s">
        <v>2670</v>
      </c>
      <c r="AO120" t="s">
        <v>2670</v>
      </c>
      <c r="AP120" t="s">
        <v>2676</v>
      </c>
    </row>
    <row r="121" spans="1:42" x14ac:dyDescent="0.25">
      <c r="A121" t="s">
        <v>2677</v>
      </c>
      <c r="B121" t="s">
        <v>2677</v>
      </c>
      <c r="C121" t="s">
        <v>2677</v>
      </c>
      <c r="D121" t="s">
        <v>2677</v>
      </c>
      <c r="E121" t="s">
        <v>2677</v>
      </c>
      <c r="F121" t="s">
        <v>2677</v>
      </c>
      <c r="G121" t="s">
        <v>2677</v>
      </c>
      <c r="H121" t="s">
        <v>2677</v>
      </c>
      <c r="I121" t="s">
        <v>2677</v>
      </c>
      <c r="J121" t="s">
        <v>2677</v>
      </c>
      <c r="K121" t="s">
        <v>2677</v>
      </c>
      <c r="L121" t="s">
        <v>2677</v>
      </c>
      <c r="M121" t="s">
        <v>2678</v>
      </c>
      <c r="N121" t="s">
        <v>2677</v>
      </c>
      <c r="O121" t="s">
        <v>2677</v>
      </c>
      <c r="P121" t="s">
        <v>2677</v>
      </c>
      <c r="Q121" t="s">
        <v>2677</v>
      </c>
      <c r="R121" t="s">
        <v>2679</v>
      </c>
      <c r="S121" t="s">
        <v>2677</v>
      </c>
      <c r="T121" t="s">
        <v>2677</v>
      </c>
      <c r="U121" t="s">
        <v>2677</v>
      </c>
      <c r="V121" t="s">
        <v>2677</v>
      </c>
      <c r="W121" t="s">
        <v>2677</v>
      </c>
      <c r="X121" t="s">
        <v>2680</v>
      </c>
      <c r="Y121" t="s">
        <v>2677</v>
      </c>
      <c r="Z121" t="s">
        <v>2677</v>
      </c>
      <c r="AA121" t="s">
        <v>2677</v>
      </c>
      <c r="AB121" t="s">
        <v>2677</v>
      </c>
      <c r="AC121" t="s">
        <v>2681</v>
      </c>
      <c r="AD121" t="s">
        <v>2677</v>
      </c>
      <c r="AE121" t="s">
        <v>2677</v>
      </c>
      <c r="AF121" t="s">
        <v>2677</v>
      </c>
      <c r="AG121" t="s">
        <v>2677</v>
      </c>
      <c r="AH121" t="s">
        <v>2677</v>
      </c>
      <c r="AI121" t="s">
        <v>2677</v>
      </c>
      <c r="AJ121" t="s">
        <v>2677</v>
      </c>
      <c r="AK121" t="s">
        <v>2677</v>
      </c>
      <c r="AL121" t="s">
        <v>2682</v>
      </c>
      <c r="AM121" t="s">
        <v>2678</v>
      </c>
      <c r="AN121" t="s">
        <v>2677</v>
      </c>
      <c r="AO121" t="s">
        <v>2677</v>
      </c>
      <c r="AP121" t="s">
        <v>2683</v>
      </c>
    </row>
    <row r="122" spans="1:42" x14ac:dyDescent="0.25">
      <c r="A122" t="s">
        <v>2684</v>
      </c>
      <c r="B122" t="s">
        <v>2684</v>
      </c>
      <c r="C122" t="s">
        <v>2684</v>
      </c>
      <c r="D122" t="s">
        <v>2684</v>
      </c>
      <c r="E122" t="s">
        <v>2684</v>
      </c>
      <c r="F122" t="s">
        <v>2684</v>
      </c>
      <c r="G122" t="s">
        <v>2684</v>
      </c>
      <c r="H122" t="s">
        <v>2684</v>
      </c>
      <c r="I122" t="s">
        <v>2684</v>
      </c>
      <c r="J122" t="s">
        <v>2684</v>
      </c>
      <c r="K122" t="s">
        <v>2684</v>
      </c>
      <c r="L122" t="s">
        <v>2684</v>
      </c>
      <c r="M122" t="s">
        <v>2685</v>
      </c>
      <c r="N122" t="s">
        <v>2684</v>
      </c>
      <c r="O122" t="s">
        <v>2684</v>
      </c>
      <c r="P122" t="s">
        <v>2684</v>
      </c>
      <c r="Q122" t="s">
        <v>2684</v>
      </c>
      <c r="R122" t="s">
        <v>2686</v>
      </c>
      <c r="S122" t="s">
        <v>2684</v>
      </c>
      <c r="T122" t="s">
        <v>2684</v>
      </c>
      <c r="U122" t="s">
        <v>2684</v>
      </c>
      <c r="V122" t="s">
        <v>2684</v>
      </c>
      <c r="W122" t="s">
        <v>2684</v>
      </c>
      <c r="X122" t="s">
        <v>2687</v>
      </c>
      <c r="Y122" t="s">
        <v>2684</v>
      </c>
      <c r="Z122" t="s">
        <v>2684</v>
      </c>
      <c r="AA122" t="s">
        <v>2684</v>
      </c>
      <c r="AB122" t="s">
        <v>2684</v>
      </c>
      <c r="AC122" t="s">
        <v>2688</v>
      </c>
      <c r="AD122" t="s">
        <v>2684</v>
      </c>
      <c r="AE122" t="s">
        <v>2684</v>
      </c>
      <c r="AF122" t="s">
        <v>2684</v>
      </c>
      <c r="AG122" t="s">
        <v>2684</v>
      </c>
      <c r="AH122" t="s">
        <v>2684</v>
      </c>
      <c r="AI122" t="s">
        <v>2684</v>
      </c>
      <c r="AJ122" t="s">
        <v>2684</v>
      </c>
      <c r="AK122" t="s">
        <v>2684</v>
      </c>
      <c r="AL122" t="s">
        <v>2689</v>
      </c>
      <c r="AM122" t="s">
        <v>2685</v>
      </c>
      <c r="AN122" t="s">
        <v>2684</v>
      </c>
      <c r="AO122" t="s">
        <v>2684</v>
      </c>
      <c r="AP122" t="s">
        <v>2690</v>
      </c>
    </row>
    <row r="123" spans="1:42" x14ac:dyDescent="0.25">
      <c r="A123" t="s">
        <v>2691</v>
      </c>
      <c r="B123" t="s">
        <v>2691</v>
      </c>
      <c r="C123" t="s">
        <v>2691</v>
      </c>
      <c r="D123" t="s">
        <v>2691</v>
      </c>
      <c r="E123" t="s">
        <v>2691</v>
      </c>
      <c r="F123" t="s">
        <v>2691</v>
      </c>
      <c r="G123" t="s">
        <v>2691</v>
      </c>
      <c r="H123" t="s">
        <v>2691</v>
      </c>
      <c r="I123" t="s">
        <v>2691</v>
      </c>
      <c r="J123" t="s">
        <v>2691</v>
      </c>
      <c r="K123" t="s">
        <v>2691</v>
      </c>
      <c r="L123" t="s">
        <v>2691</v>
      </c>
      <c r="M123" t="s">
        <v>2692</v>
      </c>
      <c r="N123" t="s">
        <v>2691</v>
      </c>
      <c r="O123" t="s">
        <v>2691</v>
      </c>
      <c r="P123" t="s">
        <v>2691</v>
      </c>
      <c r="Q123" t="s">
        <v>2691</v>
      </c>
      <c r="R123" t="s">
        <v>2693</v>
      </c>
      <c r="S123" t="s">
        <v>2691</v>
      </c>
      <c r="T123" t="s">
        <v>2691</v>
      </c>
      <c r="U123" t="s">
        <v>2691</v>
      </c>
      <c r="V123" t="s">
        <v>2691</v>
      </c>
      <c r="W123" t="s">
        <v>2691</v>
      </c>
      <c r="X123" t="s">
        <v>2694</v>
      </c>
      <c r="Y123" t="s">
        <v>2691</v>
      </c>
      <c r="Z123" t="s">
        <v>2691</v>
      </c>
      <c r="AA123" t="s">
        <v>2691</v>
      </c>
      <c r="AB123" t="s">
        <v>2691</v>
      </c>
      <c r="AC123" t="s">
        <v>2695</v>
      </c>
      <c r="AD123" t="s">
        <v>2691</v>
      </c>
      <c r="AE123" t="s">
        <v>2691</v>
      </c>
      <c r="AF123" t="s">
        <v>2691</v>
      </c>
      <c r="AG123" t="s">
        <v>2691</v>
      </c>
      <c r="AH123" t="s">
        <v>2691</v>
      </c>
      <c r="AI123" t="s">
        <v>2691</v>
      </c>
      <c r="AJ123" t="s">
        <v>2691</v>
      </c>
      <c r="AK123" t="s">
        <v>2691</v>
      </c>
      <c r="AL123" t="s">
        <v>2696</v>
      </c>
      <c r="AM123" t="s">
        <v>2692</v>
      </c>
      <c r="AN123" t="s">
        <v>2691</v>
      </c>
      <c r="AO123" t="s">
        <v>2691</v>
      </c>
      <c r="AP123" t="s">
        <v>2697</v>
      </c>
    </row>
    <row r="124" spans="1:42" x14ac:dyDescent="0.25">
      <c r="A124" t="s">
        <v>2698</v>
      </c>
      <c r="B124" t="s">
        <v>2698</v>
      </c>
      <c r="C124" t="s">
        <v>2698</v>
      </c>
      <c r="D124" t="s">
        <v>2698</v>
      </c>
      <c r="E124" t="s">
        <v>2698</v>
      </c>
      <c r="F124" t="s">
        <v>2698</v>
      </c>
      <c r="G124" t="s">
        <v>2698</v>
      </c>
      <c r="H124" t="s">
        <v>2698</v>
      </c>
      <c r="I124" t="s">
        <v>2698</v>
      </c>
      <c r="J124" t="s">
        <v>2698</v>
      </c>
      <c r="K124" t="s">
        <v>2698</v>
      </c>
      <c r="L124" t="s">
        <v>2698</v>
      </c>
      <c r="M124" t="s">
        <v>2699</v>
      </c>
      <c r="N124" t="s">
        <v>2698</v>
      </c>
      <c r="O124" t="s">
        <v>2698</v>
      </c>
      <c r="P124" t="s">
        <v>2698</v>
      </c>
      <c r="Q124" t="s">
        <v>2698</v>
      </c>
      <c r="R124" t="s">
        <v>2700</v>
      </c>
      <c r="S124" t="s">
        <v>2698</v>
      </c>
      <c r="T124" t="s">
        <v>2698</v>
      </c>
      <c r="U124" t="s">
        <v>2698</v>
      </c>
      <c r="V124" t="s">
        <v>2698</v>
      </c>
      <c r="W124" t="s">
        <v>2698</v>
      </c>
      <c r="X124" t="s">
        <v>2701</v>
      </c>
      <c r="Y124" t="s">
        <v>2698</v>
      </c>
      <c r="Z124" t="s">
        <v>2698</v>
      </c>
      <c r="AA124" t="s">
        <v>2702</v>
      </c>
      <c r="AB124" t="s">
        <v>2698</v>
      </c>
      <c r="AC124" t="s">
        <v>2703</v>
      </c>
      <c r="AD124" t="s">
        <v>2698</v>
      </c>
      <c r="AE124" t="s">
        <v>2698</v>
      </c>
      <c r="AF124" t="s">
        <v>2698</v>
      </c>
      <c r="AG124" t="s">
        <v>2698</v>
      </c>
      <c r="AH124" t="s">
        <v>2698</v>
      </c>
      <c r="AI124" t="s">
        <v>2698</v>
      </c>
      <c r="AJ124" t="s">
        <v>2698</v>
      </c>
      <c r="AK124" t="s">
        <v>2698</v>
      </c>
      <c r="AL124" t="s">
        <v>2704</v>
      </c>
      <c r="AM124" t="s">
        <v>2699</v>
      </c>
      <c r="AN124" t="s">
        <v>2698</v>
      </c>
      <c r="AO124" t="s">
        <v>2698</v>
      </c>
      <c r="AP124" t="s">
        <v>2705</v>
      </c>
    </row>
    <row r="125" spans="1:42" x14ac:dyDescent="0.25">
      <c r="A125" t="s">
        <v>2706</v>
      </c>
      <c r="B125" t="s">
        <v>2706</v>
      </c>
      <c r="C125" t="s">
        <v>2706</v>
      </c>
      <c r="D125" t="s">
        <v>2706</v>
      </c>
      <c r="E125" t="s">
        <v>2706</v>
      </c>
      <c r="F125" t="s">
        <v>2706</v>
      </c>
      <c r="G125" t="s">
        <v>2706</v>
      </c>
      <c r="H125" t="s">
        <v>2706</v>
      </c>
      <c r="I125" t="s">
        <v>2706</v>
      </c>
      <c r="J125" t="s">
        <v>2706</v>
      </c>
      <c r="K125" t="s">
        <v>2706</v>
      </c>
      <c r="L125" t="s">
        <v>2706</v>
      </c>
      <c r="M125" t="s">
        <v>2707</v>
      </c>
      <c r="N125" t="s">
        <v>2706</v>
      </c>
      <c r="O125" t="s">
        <v>2706</v>
      </c>
      <c r="P125" t="s">
        <v>2706</v>
      </c>
      <c r="Q125" t="s">
        <v>2706</v>
      </c>
      <c r="R125" t="s">
        <v>2708</v>
      </c>
      <c r="S125" t="s">
        <v>2706</v>
      </c>
      <c r="T125" t="s">
        <v>2706</v>
      </c>
      <c r="U125" t="s">
        <v>2706</v>
      </c>
      <c r="V125" t="s">
        <v>2706</v>
      </c>
      <c r="W125" t="s">
        <v>2706</v>
      </c>
      <c r="X125" t="s">
        <v>2709</v>
      </c>
      <c r="Y125" t="s">
        <v>2706</v>
      </c>
      <c r="Z125" t="s">
        <v>2706</v>
      </c>
      <c r="AA125" t="s">
        <v>2710</v>
      </c>
      <c r="AB125" t="s">
        <v>2706</v>
      </c>
      <c r="AC125" t="s">
        <v>2711</v>
      </c>
      <c r="AD125" t="s">
        <v>2706</v>
      </c>
      <c r="AE125" t="s">
        <v>2706</v>
      </c>
      <c r="AF125" t="s">
        <v>2706</v>
      </c>
      <c r="AG125" t="s">
        <v>2706</v>
      </c>
      <c r="AH125" t="s">
        <v>2706</v>
      </c>
      <c r="AI125" t="s">
        <v>2706</v>
      </c>
      <c r="AJ125" t="s">
        <v>2706</v>
      </c>
      <c r="AK125" t="s">
        <v>2706</v>
      </c>
      <c r="AL125" t="s">
        <v>2712</v>
      </c>
      <c r="AM125" t="s">
        <v>2707</v>
      </c>
      <c r="AN125" t="s">
        <v>2706</v>
      </c>
      <c r="AO125" t="s">
        <v>2706</v>
      </c>
      <c r="AP125" t="s">
        <v>2713</v>
      </c>
    </row>
    <row r="126" spans="1:42" x14ac:dyDescent="0.25">
      <c r="A126" t="s">
        <v>2714</v>
      </c>
      <c r="B126" t="s">
        <v>2714</v>
      </c>
      <c r="C126" t="s">
        <v>2714</v>
      </c>
      <c r="D126" t="s">
        <v>2714</v>
      </c>
      <c r="E126" t="s">
        <v>2714</v>
      </c>
      <c r="F126" t="s">
        <v>2714</v>
      </c>
      <c r="G126" t="s">
        <v>2714</v>
      </c>
      <c r="H126" t="s">
        <v>2714</v>
      </c>
      <c r="I126" t="s">
        <v>2714</v>
      </c>
      <c r="J126" t="s">
        <v>2714</v>
      </c>
      <c r="K126" t="s">
        <v>2714</v>
      </c>
      <c r="L126" t="s">
        <v>2714</v>
      </c>
      <c r="M126" t="s">
        <v>2715</v>
      </c>
      <c r="N126" t="s">
        <v>2714</v>
      </c>
      <c r="O126" t="s">
        <v>2714</v>
      </c>
      <c r="P126" t="s">
        <v>2714</v>
      </c>
      <c r="Q126" t="s">
        <v>2714</v>
      </c>
      <c r="R126" t="s">
        <v>2714</v>
      </c>
      <c r="S126" t="s">
        <v>2714</v>
      </c>
      <c r="T126" t="s">
        <v>2714</v>
      </c>
      <c r="U126" t="s">
        <v>2714</v>
      </c>
      <c r="V126" t="s">
        <v>2714</v>
      </c>
      <c r="W126" t="s">
        <v>2714</v>
      </c>
      <c r="X126" t="s">
        <v>2716</v>
      </c>
      <c r="Y126" t="s">
        <v>2714</v>
      </c>
      <c r="Z126" t="s">
        <v>2714</v>
      </c>
      <c r="AA126" t="s">
        <v>2717</v>
      </c>
      <c r="AB126" t="s">
        <v>2714</v>
      </c>
      <c r="AC126" t="s">
        <v>2718</v>
      </c>
      <c r="AD126" t="s">
        <v>2714</v>
      </c>
      <c r="AE126" t="s">
        <v>2714</v>
      </c>
      <c r="AF126" t="s">
        <v>2714</v>
      </c>
      <c r="AG126" t="s">
        <v>2714</v>
      </c>
      <c r="AH126" t="s">
        <v>2714</v>
      </c>
      <c r="AI126" t="s">
        <v>2714</v>
      </c>
      <c r="AJ126" t="s">
        <v>2714</v>
      </c>
      <c r="AK126" t="s">
        <v>2714</v>
      </c>
      <c r="AL126" t="s">
        <v>2719</v>
      </c>
      <c r="AM126" t="s">
        <v>2715</v>
      </c>
      <c r="AN126" t="s">
        <v>2714</v>
      </c>
      <c r="AO126" t="s">
        <v>2714</v>
      </c>
      <c r="AP126" t="s">
        <v>2720</v>
      </c>
    </row>
    <row r="127" spans="1:42" x14ac:dyDescent="0.25">
      <c r="A127" t="s">
        <v>2721</v>
      </c>
      <c r="B127" t="s">
        <v>2721</v>
      </c>
      <c r="C127" t="s">
        <v>2721</v>
      </c>
      <c r="D127" t="s">
        <v>2721</v>
      </c>
      <c r="E127" t="s">
        <v>2721</v>
      </c>
      <c r="F127" t="s">
        <v>2721</v>
      </c>
      <c r="G127" t="s">
        <v>2721</v>
      </c>
      <c r="H127" t="s">
        <v>2721</v>
      </c>
      <c r="I127" t="s">
        <v>2721</v>
      </c>
      <c r="J127" t="s">
        <v>2721</v>
      </c>
      <c r="K127" t="s">
        <v>2721</v>
      </c>
      <c r="L127" t="s">
        <v>2721</v>
      </c>
      <c r="M127" t="s">
        <v>2722</v>
      </c>
      <c r="N127" t="s">
        <v>2721</v>
      </c>
      <c r="O127" t="s">
        <v>2721</v>
      </c>
      <c r="P127" t="s">
        <v>2721</v>
      </c>
      <c r="Q127" t="s">
        <v>2721</v>
      </c>
      <c r="R127" t="s">
        <v>2721</v>
      </c>
      <c r="S127" t="s">
        <v>2721</v>
      </c>
      <c r="T127" t="s">
        <v>2721</v>
      </c>
      <c r="U127" t="s">
        <v>2721</v>
      </c>
      <c r="V127" t="s">
        <v>2721</v>
      </c>
      <c r="W127" t="s">
        <v>2721</v>
      </c>
      <c r="X127" t="s">
        <v>2723</v>
      </c>
      <c r="Y127" t="s">
        <v>2721</v>
      </c>
      <c r="Z127" t="s">
        <v>2721</v>
      </c>
      <c r="AA127" t="s">
        <v>2717</v>
      </c>
      <c r="AB127" t="s">
        <v>2721</v>
      </c>
      <c r="AC127" t="s">
        <v>2724</v>
      </c>
      <c r="AD127" t="s">
        <v>2721</v>
      </c>
      <c r="AE127" t="s">
        <v>2721</v>
      </c>
      <c r="AF127" t="s">
        <v>2721</v>
      </c>
      <c r="AG127" t="s">
        <v>2721</v>
      </c>
      <c r="AH127" t="s">
        <v>2721</v>
      </c>
      <c r="AI127" t="s">
        <v>2721</v>
      </c>
      <c r="AJ127" t="s">
        <v>2721</v>
      </c>
      <c r="AK127" t="s">
        <v>2721</v>
      </c>
      <c r="AL127" t="s">
        <v>2725</v>
      </c>
      <c r="AM127" t="s">
        <v>2722</v>
      </c>
      <c r="AN127" t="s">
        <v>2721</v>
      </c>
      <c r="AO127" t="s">
        <v>2721</v>
      </c>
      <c r="AP127" t="s">
        <v>2726</v>
      </c>
    </row>
    <row r="128" spans="1:42" x14ac:dyDescent="0.25">
      <c r="A128" t="s">
        <v>2727</v>
      </c>
      <c r="B128" t="s">
        <v>2728</v>
      </c>
      <c r="C128" t="s">
        <v>2727</v>
      </c>
      <c r="D128" t="s">
        <v>2727</v>
      </c>
      <c r="E128" t="s">
        <v>2729</v>
      </c>
      <c r="F128" t="s">
        <v>2727</v>
      </c>
      <c r="G128" t="s">
        <v>2730</v>
      </c>
      <c r="H128" t="s">
        <v>2731</v>
      </c>
      <c r="I128" t="s">
        <v>2727</v>
      </c>
      <c r="J128" t="s">
        <v>2727</v>
      </c>
      <c r="K128" t="s">
        <v>2732</v>
      </c>
      <c r="L128" t="s">
        <v>2732</v>
      </c>
      <c r="M128" t="s">
        <v>2727</v>
      </c>
      <c r="N128" t="s">
        <v>2732</v>
      </c>
      <c r="O128" t="s">
        <v>2727</v>
      </c>
      <c r="P128" t="s">
        <v>2733</v>
      </c>
      <c r="Q128" t="s">
        <v>2727</v>
      </c>
      <c r="R128" t="s">
        <v>2734</v>
      </c>
      <c r="S128" t="s">
        <v>2727</v>
      </c>
      <c r="T128" t="s">
        <v>2735</v>
      </c>
      <c r="U128" t="s">
        <v>2727</v>
      </c>
      <c r="V128" t="s">
        <v>2727</v>
      </c>
      <c r="W128" t="s">
        <v>2727</v>
      </c>
      <c r="X128" t="s">
        <v>2736</v>
      </c>
      <c r="Y128" t="s">
        <v>2737</v>
      </c>
      <c r="Z128" t="s">
        <v>2738</v>
      </c>
      <c r="AA128" t="s">
        <v>2739</v>
      </c>
      <c r="AB128" t="s">
        <v>2732</v>
      </c>
      <c r="AC128" t="s">
        <v>2740</v>
      </c>
      <c r="AD128" t="s">
        <v>2727</v>
      </c>
      <c r="AE128" t="s">
        <v>2727</v>
      </c>
      <c r="AF128" t="s">
        <v>2741</v>
      </c>
      <c r="AG128" t="s">
        <v>2742</v>
      </c>
      <c r="AH128" t="s">
        <v>2732</v>
      </c>
      <c r="AI128" t="s">
        <v>2727</v>
      </c>
      <c r="AJ128" t="s">
        <v>2727</v>
      </c>
      <c r="AK128" t="s">
        <v>2727</v>
      </c>
      <c r="AL128" t="s">
        <v>2743</v>
      </c>
      <c r="AM128" t="s">
        <v>2730</v>
      </c>
      <c r="AN128" t="s">
        <v>2744</v>
      </c>
      <c r="AO128" t="s">
        <v>2745</v>
      </c>
      <c r="AP128" t="s">
        <v>2746</v>
      </c>
    </row>
    <row r="129" spans="1:42" x14ac:dyDescent="0.25">
      <c r="A129" t="s">
        <v>2747</v>
      </c>
      <c r="B129" t="s">
        <v>2748</v>
      </c>
      <c r="C129" t="s">
        <v>2747</v>
      </c>
      <c r="D129" t="s">
        <v>2747</v>
      </c>
      <c r="E129" t="s">
        <v>2749</v>
      </c>
      <c r="F129" t="s">
        <v>2747</v>
      </c>
      <c r="G129" t="s">
        <v>2750</v>
      </c>
      <c r="H129" t="s">
        <v>2751</v>
      </c>
      <c r="I129" t="s">
        <v>2747</v>
      </c>
      <c r="J129" t="s">
        <v>2747</v>
      </c>
      <c r="K129" t="s">
        <v>2752</v>
      </c>
      <c r="L129" t="s">
        <v>2752</v>
      </c>
      <c r="M129" t="s">
        <v>2747</v>
      </c>
      <c r="N129" t="s">
        <v>2752</v>
      </c>
      <c r="O129" t="s">
        <v>2747</v>
      </c>
      <c r="P129" t="s">
        <v>2753</v>
      </c>
      <c r="Q129" t="s">
        <v>2747</v>
      </c>
      <c r="R129" t="s">
        <v>2754</v>
      </c>
      <c r="S129" t="s">
        <v>2747</v>
      </c>
      <c r="T129" t="s">
        <v>2755</v>
      </c>
      <c r="U129" t="s">
        <v>2747</v>
      </c>
      <c r="V129" t="s">
        <v>2747</v>
      </c>
      <c r="W129" t="s">
        <v>2747</v>
      </c>
      <c r="X129" t="s">
        <v>2756</v>
      </c>
      <c r="Y129" t="s">
        <v>2757</v>
      </c>
      <c r="Z129" t="s">
        <v>2758</v>
      </c>
      <c r="AA129" t="s">
        <v>2759</v>
      </c>
      <c r="AB129" t="s">
        <v>2752</v>
      </c>
      <c r="AC129" t="s">
        <v>2760</v>
      </c>
      <c r="AD129" t="s">
        <v>2747</v>
      </c>
      <c r="AE129" t="s">
        <v>2747</v>
      </c>
      <c r="AF129" t="s">
        <v>2761</v>
      </c>
      <c r="AG129" t="s">
        <v>2762</v>
      </c>
      <c r="AH129" t="s">
        <v>2752</v>
      </c>
      <c r="AI129" t="s">
        <v>2747</v>
      </c>
      <c r="AJ129" t="s">
        <v>2747</v>
      </c>
      <c r="AK129" t="s">
        <v>2747</v>
      </c>
      <c r="AL129" t="s">
        <v>2763</v>
      </c>
      <c r="AM129" t="s">
        <v>2750</v>
      </c>
      <c r="AN129" t="s">
        <v>2764</v>
      </c>
      <c r="AO129" t="s">
        <v>2765</v>
      </c>
      <c r="AP129" t="s">
        <v>2766</v>
      </c>
    </row>
    <row r="130" spans="1:42" x14ac:dyDescent="0.25">
      <c r="A130" t="s">
        <v>2767</v>
      </c>
      <c r="B130" t="s">
        <v>2768</v>
      </c>
      <c r="C130" t="s">
        <v>2767</v>
      </c>
      <c r="D130" t="s">
        <v>2767</v>
      </c>
      <c r="E130" t="s">
        <v>2769</v>
      </c>
      <c r="F130" t="s">
        <v>2767</v>
      </c>
      <c r="G130" t="s">
        <v>2770</v>
      </c>
      <c r="H130" t="s">
        <v>2771</v>
      </c>
      <c r="I130" t="s">
        <v>2767</v>
      </c>
      <c r="J130" t="s">
        <v>2767</v>
      </c>
      <c r="K130" t="s">
        <v>2772</v>
      </c>
      <c r="L130" t="s">
        <v>2772</v>
      </c>
      <c r="M130" t="s">
        <v>2767</v>
      </c>
      <c r="N130" t="s">
        <v>2772</v>
      </c>
      <c r="O130" t="s">
        <v>2767</v>
      </c>
      <c r="P130" t="s">
        <v>2773</v>
      </c>
      <c r="Q130" t="s">
        <v>2767</v>
      </c>
      <c r="R130" t="s">
        <v>2774</v>
      </c>
      <c r="S130" t="s">
        <v>2767</v>
      </c>
      <c r="T130" t="s">
        <v>2775</v>
      </c>
      <c r="U130" t="s">
        <v>2767</v>
      </c>
      <c r="V130" t="s">
        <v>2767</v>
      </c>
      <c r="W130" t="s">
        <v>2767</v>
      </c>
      <c r="X130" t="s">
        <v>2776</v>
      </c>
      <c r="Y130" t="s">
        <v>2777</v>
      </c>
      <c r="Z130" t="s">
        <v>2778</v>
      </c>
      <c r="AA130" t="s">
        <v>2779</v>
      </c>
      <c r="AB130" t="s">
        <v>2772</v>
      </c>
      <c r="AC130" t="s">
        <v>2780</v>
      </c>
      <c r="AD130" t="s">
        <v>2767</v>
      </c>
      <c r="AE130" t="s">
        <v>2767</v>
      </c>
      <c r="AF130" t="s">
        <v>2781</v>
      </c>
      <c r="AG130" t="s">
        <v>2782</v>
      </c>
      <c r="AH130" t="s">
        <v>2772</v>
      </c>
      <c r="AI130" t="s">
        <v>2767</v>
      </c>
      <c r="AJ130" t="s">
        <v>2767</v>
      </c>
      <c r="AK130" t="s">
        <v>2767</v>
      </c>
      <c r="AL130" t="s">
        <v>2783</v>
      </c>
      <c r="AM130" t="s">
        <v>2770</v>
      </c>
      <c r="AN130" t="s">
        <v>2784</v>
      </c>
      <c r="AO130" t="s">
        <v>2785</v>
      </c>
      <c r="AP130" t="s">
        <v>2786</v>
      </c>
    </row>
    <row r="131" spans="1:42" x14ac:dyDescent="0.25">
      <c r="A131" t="s">
        <v>2787</v>
      </c>
      <c r="B131" t="s">
        <v>2788</v>
      </c>
      <c r="C131" t="s">
        <v>2787</v>
      </c>
      <c r="D131" t="s">
        <v>2787</v>
      </c>
      <c r="E131" t="s">
        <v>2789</v>
      </c>
      <c r="F131" t="s">
        <v>2787</v>
      </c>
      <c r="G131" t="s">
        <v>2790</v>
      </c>
      <c r="H131" t="s">
        <v>2791</v>
      </c>
      <c r="I131" t="s">
        <v>2787</v>
      </c>
      <c r="J131" t="s">
        <v>2787</v>
      </c>
      <c r="K131" t="s">
        <v>2792</v>
      </c>
      <c r="L131" t="s">
        <v>2792</v>
      </c>
      <c r="M131" t="s">
        <v>2787</v>
      </c>
      <c r="N131" t="s">
        <v>2792</v>
      </c>
      <c r="O131" t="s">
        <v>2787</v>
      </c>
      <c r="P131" t="s">
        <v>2793</v>
      </c>
      <c r="Q131" t="s">
        <v>2787</v>
      </c>
      <c r="R131" t="s">
        <v>2794</v>
      </c>
      <c r="S131" t="s">
        <v>2787</v>
      </c>
      <c r="T131" t="s">
        <v>2795</v>
      </c>
      <c r="U131" t="s">
        <v>2787</v>
      </c>
      <c r="V131" t="s">
        <v>2787</v>
      </c>
      <c r="W131" t="s">
        <v>2787</v>
      </c>
      <c r="X131" t="s">
        <v>2796</v>
      </c>
      <c r="Y131" t="s">
        <v>2797</v>
      </c>
      <c r="Z131" t="s">
        <v>2798</v>
      </c>
      <c r="AA131" t="s">
        <v>2799</v>
      </c>
      <c r="AB131" t="s">
        <v>2792</v>
      </c>
      <c r="AC131" t="s">
        <v>2800</v>
      </c>
      <c r="AD131" t="s">
        <v>2787</v>
      </c>
      <c r="AE131" t="s">
        <v>2787</v>
      </c>
      <c r="AF131" t="s">
        <v>2801</v>
      </c>
      <c r="AG131" t="s">
        <v>2802</v>
      </c>
      <c r="AH131" t="s">
        <v>2792</v>
      </c>
      <c r="AI131" t="s">
        <v>2787</v>
      </c>
      <c r="AJ131" t="s">
        <v>2787</v>
      </c>
      <c r="AK131" t="s">
        <v>2787</v>
      </c>
      <c r="AL131" t="s">
        <v>2803</v>
      </c>
      <c r="AM131" t="s">
        <v>2790</v>
      </c>
      <c r="AN131" t="s">
        <v>2804</v>
      </c>
      <c r="AO131" t="s">
        <v>2805</v>
      </c>
      <c r="AP131" t="s">
        <v>2806</v>
      </c>
    </row>
    <row r="132" spans="1:42" x14ac:dyDescent="0.25">
      <c r="A132" t="s">
        <v>2807</v>
      </c>
      <c r="B132" t="s">
        <v>2808</v>
      </c>
      <c r="C132" t="s">
        <v>2807</v>
      </c>
      <c r="D132" t="s">
        <v>2807</v>
      </c>
      <c r="E132" t="s">
        <v>2809</v>
      </c>
      <c r="F132" t="s">
        <v>2807</v>
      </c>
      <c r="G132" t="s">
        <v>2810</v>
      </c>
      <c r="H132" t="s">
        <v>2811</v>
      </c>
      <c r="I132" t="s">
        <v>2807</v>
      </c>
      <c r="J132" t="s">
        <v>2807</v>
      </c>
      <c r="K132" t="s">
        <v>2812</v>
      </c>
      <c r="L132" t="s">
        <v>2812</v>
      </c>
      <c r="M132" t="s">
        <v>2807</v>
      </c>
      <c r="N132" t="s">
        <v>2812</v>
      </c>
      <c r="O132" t="s">
        <v>2807</v>
      </c>
      <c r="P132" t="s">
        <v>2813</v>
      </c>
      <c r="Q132" t="s">
        <v>2807</v>
      </c>
      <c r="R132" t="s">
        <v>2814</v>
      </c>
      <c r="S132" t="s">
        <v>2807</v>
      </c>
      <c r="T132" t="s">
        <v>2815</v>
      </c>
      <c r="U132" t="s">
        <v>2807</v>
      </c>
      <c r="V132" t="s">
        <v>2807</v>
      </c>
      <c r="W132" t="s">
        <v>2807</v>
      </c>
      <c r="X132" t="s">
        <v>2816</v>
      </c>
      <c r="Y132" t="s">
        <v>2817</v>
      </c>
      <c r="Z132" t="s">
        <v>2818</v>
      </c>
      <c r="AA132" t="s">
        <v>2819</v>
      </c>
      <c r="AB132" t="s">
        <v>2812</v>
      </c>
      <c r="AC132" t="s">
        <v>2820</v>
      </c>
      <c r="AD132" t="s">
        <v>2807</v>
      </c>
      <c r="AE132" t="s">
        <v>2807</v>
      </c>
      <c r="AF132" t="s">
        <v>2821</v>
      </c>
      <c r="AG132" t="s">
        <v>2822</v>
      </c>
      <c r="AH132" t="s">
        <v>2812</v>
      </c>
      <c r="AI132" t="s">
        <v>2807</v>
      </c>
      <c r="AJ132" t="s">
        <v>2807</v>
      </c>
      <c r="AK132" t="s">
        <v>2807</v>
      </c>
      <c r="AL132" t="s">
        <v>2823</v>
      </c>
      <c r="AM132" t="s">
        <v>2810</v>
      </c>
      <c r="AN132" t="s">
        <v>2824</v>
      </c>
      <c r="AO132" t="s">
        <v>2825</v>
      </c>
      <c r="AP132" t="s">
        <v>2826</v>
      </c>
    </row>
    <row r="133" spans="1:42" x14ac:dyDescent="0.25">
      <c r="A133" t="s">
        <v>2827</v>
      </c>
      <c r="B133" t="s">
        <v>2828</v>
      </c>
      <c r="C133" t="s">
        <v>2827</v>
      </c>
      <c r="D133" t="s">
        <v>2827</v>
      </c>
      <c r="E133" t="s">
        <v>2829</v>
      </c>
      <c r="F133" t="s">
        <v>2827</v>
      </c>
      <c r="G133" t="s">
        <v>2830</v>
      </c>
      <c r="H133" t="s">
        <v>2831</v>
      </c>
      <c r="I133" t="s">
        <v>2827</v>
      </c>
      <c r="J133" t="s">
        <v>2827</v>
      </c>
      <c r="K133" t="s">
        <v>2832</v>
      </c>
      <c r="L133" t="s">
        <v>2832</v>
      </c>
      <c r="M133" t="s">
        <v>2827</v>
      </c>
      <c r="N133" t="s">
        <v>2832</v>
      </c>
      <c r="O133" t="s">
        <v>2827</v>
      </c>
      <c r="P133" t="s">
        <v>2833</v>
      </c>
      <c r="Q133" t="s">
        <v>2827</v>
      </c>
      <c r="R133" t="s">
        <v>2834</v>
      </c>
      <c r="S133" t="s">
        <v>2827</v>
      </c>
      <c r="T133" t="s">
        <v>2835</v>
      </c>
      <c r="U133" t="s">
        <v>2827</v>
      </c>
      <c r="V133" t="s">
        <v>2827</v>
      </c>
      <c r="W133" t="s">
        <v>2827</v>
      </c>
      <c r="X133" t="s">
        <v>2836</v>
      </c>
      <c r="Y133" t="s">
        <v>2837</v>
      </c>
      <c r="Z133" t="s">
        <v>2838</v>
      </c>
      <c r="AA133" t="s">
        <v>2839</v>
      </c>
      <c r="AB133" t="s">
        <v>2832</v>
      </c>
      <c r="AC133" t="s">
        <v>2840</v>
      </c>
      <c r="AD133" t="s">
        <v>2827</v>
      </c>
      <c r="AE133" t="s">
        <v>2827</v>
      </c>
      <c r="AF133" t="s">
        <v>2841</v>
      </c>
      <c r="AG133" t="s">
        <v>2842</v>
      </c>
      <c r="AH133" t="s">
        <v>2832</v>
      </c>
      <c r="AI133" t="s">
        <v>2827</v>
      </c>
      <c r="AJ133" t="s">
        <v>2827</v>
      </c>
      <c r="AK133" t="s">
        <v>2827</v>
      </c>
      <c r="AL133" t="s">
        <v>2843</v>
      </c>
      <c r="AM133" t="s">
        <v>2830</v>
      </c>
      <c r="AN133" t="s">
        <v>2844</v>
      </c>
      <c r="AO133" t="s">
        <v>2845</v>
      </c>
      <c r="AP133" t="s">
        <v>2846</v>
      </c>
    </row>
    <row r="134" spans="1:42" x14ac:dyDescent="0.25">
      <c r="A134" t="s">
        <v>2847</v>
      </c>
      <c r="B134" t="s">
        <v>2848</v>
      </c>
      <c r="C134" t="s">
        <v>2847</v>
      </c>
      <c r="D134" t="s">
        <v>2847</v>
      </c>
      <c r="E134" t="s">
        <v>2849</v>
      </c>
      <c r="F134" t="s">
        <v>2847</v>
      </c>
      <c r="G134" t="s">
        <v>2850</v>
      </c>
      <c r="H134" t="s">
        <v>2851</v>
      </c>
      <c r="I134" t="s">
        <v>2847</v>
      </c>
      <c r="J134" t="s">
        <v>2847</v>
      </c>
      <c r="K134" t="s">
        <v>2852</v>
      </c>
      <c r="L134" t="s">
        <v>2852</v>
      </c>
      <c r="M134" t="s">
        <v>2847</v>
      </c>
      <c r="N134" t="s">
        <v>2852</v>
      </c>
      <c r="O134" t="s">
        <v>2847</v>
      </c>
      <c r="P134" t="s">
        <v>2853</v>
      </c>
      <c r="Q134" t="s">
        <v>2847</v>
      </c>
      <c r="R134" t="s">
        <v>2854</v>
      </c>
      <c r="S134" t="s">
        <v>2847</v>
      </c>
      <c r="T134" t="s">
        <v>2855</v>
      </c>
      <c r="U134" t="s">
        <v>2847</v>
      </c>
      <c r="V134" t="s">
        <v>2847</v>
      </c>
      <c r="W134" t="s">
        <v>2847</v>
      </c>
      <c r="X134" t="s">
        <v>2856</v>
      </c>
      <c r="Y134" t="s">
        <v>2857</v>
      </c>
      <c r="Z134" t="s">
        <v>2858</v>
      </c>
      <c r="AA134" t="s">
        <v>2859</v>
      </c>
      <c r="AB134" t="s">
        <v>2852</v>
      </c>
      <c r="AC134" t="s">
        <v>2860</v>
      </c>
      <c r="AD134" t="s">
        <v>2847</v>
      </c>
      <c r="AE134" t="s">
        <v>2847</v>
      </c>
      <c r="AF134" t="s">
        <v>2861</v>
      </c>
      <c r="AG134" t="s">
        <v>2862</v>
      </c>
      <c r="AH134" t="s">
        <v>2852</v>
      </c>
      <c r="AI134" t="s">
        <v>2847</v>
      </c>
      <c r="AJ134" t="s">
        <v>2847</v>
      </c>
      <c r="AK134" t="s">
        <v>2847</v>
      </c>
      <c r="AL134" t="s">
        <v>2863</v>
      </c>
      <c r="AM134" t="s">
        <v>2850</v>
      </c>
      <c r="AN134" t="s">
        <v>2864</v>
      </c>
      <c r="AO134" t="s">
        <v>2865</v>
      </c>
      <c r="AP134" t="s">
        <v>2866</v>
      </c>
    </row>
    <row r="135" spans="1:42" x14ac:dyDescent="0.25">
      <c r="A135" t="s">
        <v>2867</v>
      </c>
      <c r="B135" t="s">
        <v>2868</v>
      </c>
      <c r="C135" t="s">
        <v>2867</v>
      </c>
      <c r="D135" t="s">
        <v>2867</v>
      </c>
      <c r="E135" t="s">
        <v>2869</v>
      </c>
      <c r="F135" t="s">
        <v>2867</v>
      </c>
      <c r="G135" t="s">
        <v>2870</v>
      </c>
      <c r="H135" t="s">
        <v>2871</v>
      </c>
      <c r="I135" t="s">
        <v>2867</v>
      </c>
      <c r="J135" t="s">
        <v>2867</v>
      </c>
      <c r="K135" t="s">
        <v>2872</v>
      </c>
      <c r="L135" t="s">
        <v>2872</v>
      </c>
      <c r="M135" t="s">
        <v>2867</v>
      </c>
      <c r="N135" t="s">
        <v>2872</v>
      </c>
      <c r="O135" t="s">
        <v>2867</v>
      </c>
      <c r="P135" t="s">
        <v>2873</v>
      </c>
      <c r="Q135" t="s">
        <v>2867</v>
      </c>
      <c r="R135" t="s">
        <v>2874</v>
      </c>
      <c r="S135" t="s">
        <v>2867</v>
      </c>
      <c r="T135" t="s">
        <v>2875</v>
      </c>
      <c r="U135" t="s">
        <v>2867</v>
      </c>
      <c r="V135" t="s">
        <v>2867</v>
      </c>
      <c r="W135" t="s">
        <v>2867</v>
      </c>
      <c r="X135" t="s">
        <v>2876</v>
      </c>
      <c r="Y135" t="s">
        <v>2877</v>
      </c>
      <c r="Z135" t="s">
        <v>2878</v>
      </c>
      <c r="AA135" t="s">
        <v>2879</v>
      </c>
      <c r="AB135" t="s">
        <v>2872</v>
      </c>
      <c r="AC135" t="s">
        <v>2880</v>
      </c>
      <c r="AD135" t="s">
        <v>2867</v>
      </c>
      <c r="AE135" t="s">
        <v>2867</v>
      </c>
      <c r="AF135" t="s">
        <v>2881</v>
      </c>
      <c r="AG135" t="s">
        <v>2882</v>
      </c>
      <c r="AH135" t="s">
        <v>2872</v>
      </c>
      <c r="AI135" t="s">
        <v>2867</v>
      </c>
      <c r="AJ135" t="s">
        <v>2867</v>
      </c>
      <c r="AK135" t="s">
        <v>2867</v>
      </c>
      <c r="AL135" t="s">
        <v>2883</v>
      </c>
      <c r="AM135" t="s">
        <v>2870</v>
      </c>
      <c r="AN135" t="s">
        <v>2884</v>
      </c>
      <c r="AO135" t="s">
        <v>2885</v>
      </c>
      <c r="AP135" t="s">
        <v>2886</v>
      </c>
    </row>
    <row r="136" spans="1:42" x14ac:dyDescent="0.25">
      <c r="A136" t="s">
        <v>2887</v>
      </c>
      <c r="B136" t="s">
        <v>2888</v>
      </c>
      <c r="C136" t="s">
        <v>2887</v>
      </c>
      <c r="D136" t="s">
        <v>2887</v>
      </c>
      <c r="E136" t="s">
        <v>2889</v>
      </c>
      <c r="F136" t="s">
        <v>2887</v>
      </c>
      <c r="G136" t="s">
        <v>2890</v>
      </c>
      <c r="H136" t="s">
        <v>2891</v>
      </c>
      <c r="I136" t="s">
        <v>2887</v>
      </c>
      <c r="J136" t="s">
        <v>2887</v>
      </c>
      <c r="K136" t="s">
        <v>2892</v>
      </c>
      <c r="L136" t="s">
        <v>2892</v>
      </c>
      <c r="M136" t="s">
        <v>2887</v>
      </c>
      <c r="N136" t="s">
        <v>2892</v>
      </c>
      <c r="O136" t="s">
        <v>2887</v>
      </c>
      <c r="P136" t="s">
        <v>2893</v>
      </c>
      <c r="Q136" t="s">
        <v>2887</v>
      </c>
      <c r="R136" t="s">
        <v>2894</v>
      </c>
      <c r="S136" t="s">
        <v>2887</v>
      </c>
      <c r="T136" t="s">
        <v>2895</v>
      </c>
      <c r="U136" t="s">
        <v>2887</v>
      </c>
      <c r="V136" t="s">
        <v>2887</v>
      </c>
      <c r="W136" t="s">
        <v>2887</v>
      </c>
      <c r="X136" t="s">
        <v>2896</v>
      </c>
      <c r="Y136" t="s">
        <v>2897</v>
      </c>
      <c r="Z136" t="s">
        <v>2898</v>
      </c>
      <c r="AA136" t="s">
        <v>2899</v>
      </c>
      <c r="AB136" t="s">
        <v>2892</v>
      </c>
      <c r="AC136" t="s">
        <v>2900</v>
      </c>
      <c r="AD136" t="s">
        <v>2887</v>
      </c>
      <c r="AE136" t="s">
        <v>2887</v>
      </c>
      <c r="AF136" t="s">
        <v>2901</v>
      </c>
      <c r="AG136" t="s">
        <v>2902</v>
      </c>
      <c r="AH136" t="s">
        <v>2892</v>
      </c>
      <c r="AI136" t="s">
        <v>2887</v>
      </c>
      <c r="AJ136" t="s">
        <v>2887</v>
      </c>
      <c r="AK136" t="s">
        <v>2887</v>
      </c>
      <c r="AL136" t="s">
        <v>2903</v>
      </c>
      <c r="AM136" t="s">
        <v>2890</v>
      </c>
      <c r="AN136" t="s">
        <v>2904</v>
      </c>
      <c r="AO136" t="s">
        <v>2905</v>
      </c>
      <c r="AP136" t="s">
        <v>2906</v>
      </c>
    </row>
    <row r="137" spans="1:42" x14ac:dyDescent="0.25">
      <c r="A137" t="s">
        <v>2907</v>
      </c>
      <c r="B137" t="s">
        <v>2908</v>
      </c>
      <c r="C137" t="s">
        <v>2907</v>
      </c>
      <c r="D137" t="s">
        <v>2907</v>
      </c>
      <c r="E137" t="s">
        <v>2909</v>
      </c>
      <c r="F137" t="s">
        <v>2907</v>
      </c>
      <c r="G137" t="s">
        <v>2910</v>
      </c>
      <c r="H137" t="s">
        <v>2911</v>
      </c>
      <c r="I137" t="s">
        <v>2907</v>
      </c>
      <c r="J137" t="s">
        <v>2907</v>
      </c>
      <c r="K137" t="s">
        <v>2912</v>
      </c>
      <c r="L137" t="s">
        <v>2912</v>
      </c>
      <c r="M137" t="s">
        <v>2907</v>
      </c>
      <c r="N137" t="s">
        <v>2912</v>
      </c>
      <c r="O137" t="s">
        <v>2907</v>
      </c>
      <c r="P137" t="s">
        <v>2913</v>
      </c>
      <c r="Q137" t="s">
        <v>2907</v>
      </c>
      <c r="R137" t="s">
        <v>2914</v>
      </c>
      <c r="S137" t="s">
        <v>2907</v>
      </c>
      <c r="T137" t="s">
        <v>2915</v>
      </c>
      <c r="U137" t="s">
        <v>2907</v>
      </c>
      <c r="V137" t="s">
        <v>2907</v>
      </c>
      <c r="W137" t="s">
        <v>2907</v>
      </c>
      <c r="X137" t="s">
        <v>2916</v>
      </c>
      <c r="Y137" t="s">
        <v>2917</v>
      </c>
      <c r="Z137" t="s">
        <v>2918</v>
      </c>
      <c r="AA137" t="s">
        <v>2919</v>
      </c>
      <c r="AB137" t="s">
        <v>2912</v>
      </c>
      <c r="AC137" t="s">
        <v>2920</v>
      </c>
      <c r="AD137" t="s">
        <v>2907</v>
      </c>
      <c r="AE137" t="s">
        <v>2907</v>
      </c>
      <c r="AF137" t="s">
        <v>2921</v>
      </c>
      <c r="AG137" t="s">
        <v>2922</v>
      </c>
      <c r="AH137" t="s">
        <v>2912</v>
      </c>
      <c r="AI137" t="s">
        <v>2907</v>
      </c>
      <c r="AJ137" t="s">
        <v>2907</v>
      </c>
      <c r="AK137" t="s">
        <v>2907</v>
      </c>
      <c r="AL137" t="s">
        <v>2923</v>
      </c>
      <c r="AM137" t="s">
        <v>2910</v>
      </c>
      <c r="AN137" t="s">
        <v>2924</v>
      </c>
      <c r="AO137" t="s">
        <v>2925</v>
      </c>
      <c r="AP137" t="s">
        <v>2926</v>
      </c>
    </row>
    <row r="138" spans="1:42" x14ac:dyDescent="0.25">
      <c r="A138" t="s">
        <v>2927</v>
      </c>
      <c r="B138" t="s">
        <v>2928</v>
      </c>
      <c r="C138" t="s">
        <v>2927</v>
      </c>
      <c r="D138" t="s">
        <v>2927</v>
      </c>
      <c r="E138" t="s">
        <v>2929</v>
      </c>
      <c r="F138" t="s">
        <v>2927</v>
      </c>
      <c r="G138" t="s">
        <v>2930</v>
      </c>
      <c r="H138" t="s">
        <v>2931</v>
      </c>
      <c r="I138" t="s">
        <v>2927</v>
      </c>
      <c r="J138" t="s">
        <v>2927</v>
      </c>
      <c r="K138" t="s">
        <v>2932</v>
      </c>
      <c r="L138" t="s">
        <v>2932</v>
      </c>
      <c r="M138" t="s">
        <v>2927</v>
      </c>
      <c r="N138" t="s">
        <v>2932</v>
      </c>
      <c r="O138" t="s">
        <v>2927</v>
      </c>
      <c r="P138" t="s">
        <v>2933</v>
      </c>
      <c r="Q138" t="s">
        <v>2927</v>
      </c>
      <c r="R138" t="s">
        <v>2934</v>
      </c>
      <c r="S138" t="s">
        <v>2927</v>
      </c>
      <c r="T138" t="s">
        <v>2935</v>
      </c>
      <c r="U138" t="s">
        <v>2927</v>
      </c>
      <c r="V138" t="s">
        <v>2927</v>
      </c>
      <c r="W138" t="s">
        <v>2927</v>
      </c>
      <c r="X138" t="s">
        <v>2936</v>
      </c>
      <c r="Y138" t="s">
        <v>2937</v>
      </c>
      <c r="Z138" t="s">
        <v>2938</v>
      </c>
      <c r="AA138" t="s">
        <v>2939</v>
      </c>
      <c r="AB138" t="s">
        <v>2932</v>
      </c>
      <c r="AC138" t="s">
        <v>2940</v>
      </c>
      <c r="AD138" t="s">
        <v>2927</v>
      </c>
      <c r="AE138" t="s">
        <v>2927</v>
      </c>
      <c r="AF138" t="s">
        <v>2941</v>
      </c>
      <c r="AG138" t="s">
        <v>2942</v>
      </c>
      <c r="AH138" t="s">
        <v>2932</v>
      </c>
      <c r="AI138" t="s">
        <v>2927</v>
      </c>
      <c r="AJ138" t="s">
        <v>2927</v>
      </c>
      <c r="AK138" t="s">
        <v>2927</v>
      </c>
      <c r="AL138" t="s">
        <v>2943</v>
      </c>
      <c r="AM138" t="s">
        <v>2930</v>
      </c>
      <c r="AN138" t="s">
        <v>2944</v>
      </c>
      <c r="AO138" t="s">
        <v>2945</v>
      </c>
      <c r="AP138" t="s">
        <v>2946</v>
      </c>
    </row>
    <row r="139" spans="1:42" x14ac:dyDescent="0.25">
      <c r="A139" t="s">
        <v>2947</v>
      </c>
      <c r="B139" t="s">
        <v>2948</v>
      </c>
      <c r="C139" t="s">
        <v>2947</v>
      </c>
      <c r="D139" t="s">
        <v>2947</v>
      </c>
      <c r="E139" t="s">
        <v>2949</v>
      </c>
      <c r="F139" t="s">
        <v>2947</v>
      </c>
      <c r="G139" t="s">
        <v>2950</v>
      </c>
      <c r="H139" t="s">
        <v>2951</v>
      </c>
      <c r="I139" t="s">
        <v>2947</v>
      </c>
      <c r="J139" t="s">
        <v>2947</v>
      </c>
      <c r="K139" t="s">
        <v>2952</v>
      </c>
      <c r="L139" t="s">
        <v>2952</v>
      </c>
      <c r="M139" t="s">
        <v>2947</v>
      </c>
      <c r="N139" t="s">
        <v>2952</v>
      </c>
      <c r="O139" t="s">
        <v>2947</v>
      </c>
      <c r="P139" t="s">
        <v>2953</v>
      </c>
      <c r="Q139" t="s">
        <v>2947</v>
      </c>
      <c r="R139" t="s">
        <v>2954</v>
      </c>
      <c r="S139" t="s">
        <v>2947</v>
      </c>
      <c r="T139" t="s">
        <v>2955</v>
      </c>
      <c r="U139" t="s">
        <v>2947</v>
      </c>
      <c r="V139" t="s">
        <v>2947</v>
      </c>
      <c r="W139" t="s">
        <v>2947</v>
      </c>
      <c r="X139" t="s">
        <v>2956</v>
      </c>
      <c r="Y139" t="s">
        <v>2957</v>
      </c>
      <c r="Z139" t="s">
        <v>2958</v>
      </c>
      <c r="AA139" t="s">
        <v>2959</v>
      </c>
      <c r="AB139" t="s">
        <v>2952</v>
      </c>
      <c r="AC139" t="s">
        <v>2960</v>
      </c>
      <c r="AD139" t="s">
        <v>2947</v>
      </c>
      <c r="AE139" t="s">
        <v>2947</v>
      </c>
      <c r="AF139" t="s">
        <v>2961</v>
      </c>
      <c r="AG139" t="s">
        <v>2962</v>
      </c>
      <c r="AH139" t="s">
        <v>2952</v>
      </c>
      <c r="AI139" t="s">
        <v>2947</v>
      </c>
      <c r="AJ139" t="s">
        <v>2947</v>
      </c>
      <c r="AK139" t="s">
        <v>2947</v>
      </c>
      <c r="AL139" t="s">
        <v>2963</v>
      </c>
      <c r="AM139" t="s">
        <v>2950</v>
      </c>
      <c r="AN139" t="s">
        <v>2964</v>
      </c>
      <c r="AO139" t="s">
        <v>2965</v>
      </c>
      <c r="AP139" t="s">
        <v>2966</v>
      </c>
    </row>
    <row r="140" spans="1:42" x14ac:dyDescent="0.25">
      <c r="A140" t="s">
        <v>2967</v>
      </c>
      <c r="B140" t="s">
        <v>2968</v>
      </c>
      <c r="C140" t="s">
        <v>2967</v>
      </c>
      <c r="D140" t="s">
        <v>2967</v>
      </c>
      <c r="E140" t="s">
        <v>2969</v>
      </c>
      <c r="F140" t="s">
        <v>2967</v>
      </c>
      <c r="G140" t="s">
        <v>2970</v>
      </c>
      <c r="H140" t="s">
        <v>2971</v>
      </c>
      <c r="I140" t="s">
        <v>2967</v>
      </c>
      <c r="J140" t="s">
        <v>2967</v>
      </c>
      <c r="K140" t="s">
        <v>2972</v>
      </c>
      <c r="L140" t="s">
        <v>2972</v>
      </c>
      <c r="M140" t="s">
        <v>2967</v>
      </c>
      <c r="N140" t="s">
        <v>2972</v>
      </c>
      <c r="O140" t="s">
        <v>2967</v>
      </c>
      <c r="P140" t="s">
        <v>2973</v>
      </c>
      <c r="Q140" t="s">
        <v>2967</v>
      </c>
      <c r="R140" t="s">
        <v>2974</v>
      </c>
      <c r="S140" t="s">
        <v>2967</v>
      </c>
      <c r="T140" t="s">
        <v>2975</v>
      </c>
      <c r="U140" t="s">
        <v>2967</v>
      </c>
      <c r="V140" t="s">
        <v>2967</v>
      </c>
      <c r="W140" t="s">
        <v>2967</v>
      </c>
      <c r="X140" t="s">
        <v>2976</v>
      </c>
      <c r="Y140" t="s">
        <v>2977</v>
      </c>
      <c r="Z140" t="s">
        <v>2978</v>
      </c>
      <c r="AA140" t="s">
        <v>2979</v>
      </c>
      <c r="AB140" t="s">
        <v>2972</v>
      </c>
      <c r="AC140" t="s">
        <v>2980</v>
      </c>
      <c r="AD140" t="s">
        <v>2967</v>
      </c>
      <c r="AE140" t="s">
        <v>2967</v>
      </c>
      <c r="AF140" t="s">
        <v>2981</v>
      </c>
      <c r="AG140" t="s">
        <v>2982</v>
      </c>
      <c r="AH140" t="s">
        <v>2972</v>
      </c>
      <c r="AI140" t="s">
        <v>2967</v>
      </c>
      <c r="AJ140" t="s">
        <v>2967</v>
      </c>
      <c r="AK140" t="s">
        <v>2967</v>
      </c>
      <c r="AL140" t="s">
        <v>2983</v>
      </c>
      <c r="AM140" t="s">
        <v>2970</v>
      </c>
      <c r="AN140" t="s">
        <v>2984</v>
      </c>
      <c r="AO140" t="s">
        <v>2985</v>
      </c>
      <c r="AP140" t="s">
        <v>2986</v>
      </c>
    </row>
    <row r="141" spans="1:42" x14ac:dyDescent="0.25">
      <c r="A141" t="s">
        <v>2987</v>
      </c>
      <c r="B141" t="s">
        <v>2988</v>
      </c>
      <c r="C141" t="s">
        <v>2987</v>
      </c>
      <c r="D141" t="s">
        <v>2987</v>
      </c>
      <c r="E141" t="s">
        <v>2989</v>
      </c>
      <c r="F141" t="s">
        <v>2987</v>
      </c>
      <c r="G141" t="s">
        <v>2990</v>
      </c>
      <c r="H141" t="s">
        <v>2991</v>
      </c>
      <c r="I141" t="s">
        <v>2987</v>
      </c>
      <c r="J141" t="s">
        <v>2987</v>
      </c>
      <c r="K141" t="s">
        <v>2992</v>
      </c>
      <c r="L141" t="s">
        <v>2992</v>
      </c>
      <c r="M141" t="s">
        <v>2987</v>
      </c>
      <c r="N141" t="s">
        <v>2992</v>
      </c>
      <c r="O141" t="s">
        <v>2987</v>
      </c>
      <c r="P141" t="s">
        <v>2993</v>
      </c>
      <c r="Q141" t="s">
        <v>2987</v>
      </c>
      <c r="R141" t="s">
        <v>2994</v>
      </c>
      <c r="S141" t="s">
        <v>2987</v>
      </c>
      <c r="T141" t="s">
        <v>2995</v>
      </c>
      <c r="U141" t="s">
        <v>2987</v>
      </c>
      <c r="V141" t="s">
        <v>2987</v>
      </c>
      <c r="W141" t="s">
        <v>2987</v>
      </c>
      <c r="X141" t="s">
        <v>2996</v>
      </c>
      <c r="Y141" t="s">
        <v>2997</v>
      </c>
      <c r="Z141" t="s">
        <v>2998</v>
      </c>
      <c r="AA141" t="s">
        <v>2999</v>
      </c>
      <c r="AB141" t="s">
        <v>2992</v>
      </c>
      <c r="AC141" t="s">
        <v>3000</v>
      </c>
      <c r="AD141" t="s">
        <v>2987</v>
      </c>
      <c r="AE141" t="s">
        <v>2987</v>
      </c>
      <c r="AF141" t="s">
        <v>3001</v>
      </c>
      <c r="AG141" t="s">
        <v>3002</v>
      </c>
      <c r="AH141" t="s">
        <v>2992</v>
      </c>
      <c r="AI141" t="s">
        <v>2987</v>
      </c>
      <c r="AJ141" t="s">
        <v>2987</v>
      </c>
      <c r="AK141" t="s">
        <v>2987</v>
      </c>
      <c r="AL141" t="s">
        <v>3003</v>
      </c>
      <c r="AM141" t="s">
        <v>2990</v>
      </c>
      <c r="AN141" t="s">
        <v>3004</v>
      </c>
      <c r="AO141" t="s">
        <v>3005</v>
      </c>
      <c r="AP141" t="s">
        <v>3006</v>
      </c>
    </row>
    <row r="142" spans="1:42" x14ac:dyDescent="0.25">
      <c r="A142" t="s">
        <v>2977</v>
      </c>
      <c r="B142" t="s">
        <v>3007</v>
      </c>
      <c r="C142" t="s">
        <v>2977</v>
      </c>
      <c r="D142" t="s">
        <v>2977</v>
      </c>
      <c r="E142" t="s">
        <v>3008</v>
      </c>
      <c r="F142" t="s">
        <v>2977</v>
      </c>
      <c r="G142" t="s">
        <v>2982</v>
      </c>
      <c r="H142" t="s">
        <v>3009</v>
      </c>
      <c r="I142" t="s">
        <v>2977</v>
      </c>
      <c r="J142" t="s">
        <v>2977</v>
      </c>
      <c r="K142" t="s">
        <v>2982</v>
      </c>
      <c r="L142" t="s">
        <v>2984</v>
      </c>
      <c r="M142" t="s">
        <v>2972</v>
      </c>
      <c r="N142" t="s">
        <v>2984</v>
      </c>
      <c r="O142" t="s">
        <v>2977</v>
      </c>
      <c r="P142" t="s">
        <v>3010</v>
      </c>
      <c r="Q142" t="s">
        <v>2977</v>
      </c>
      <c r="R142" t="s">
        <v>3011</v>
      </c>
      <c r="S142" t="s">
        <v>2977</v>
      </c>
      <c r="T142" t="s">
        <v>2972</v>
      </c>
      <c r="U142" t="s">
        <v>2977</v>
      </c>
      <c r="V142" t="s">
        <v>2977</v>
      </c>
      <c r="W142" t="s">
        <v>2977</v>
      </c>
      <c r="X142" t="s">
        <v>3012</v>
      </c>
      <c r="Y142" t="s">
        <v>2982</v>
      </c>
      <c r="Z142" t="s">
        <v>3013</v>
      </c>
      <c r="AA142" t="s">
        <v>2984</v>
      </c>
      <c r="AB142" t="s">
        <v>2984</v>
      </c>
      <c r="AC142" t="s">
        <v>3014</v>
      </c>
      <c r="AD142" t="s">
        <v>2977</v>
      </c>
      <c r="AE142" t="s">
        <v>2977</v>
      </c>
      <c r="AF142" t="s">
        <v>2982</v>
      </c>
      <c r="AG142" t="s">
        <v>3015</v>
      </c>
      <c r="AH142" t="s">
        <v>2982</v>
      </c>
      <c r="AI142" t="s">
        <v>2977</v>
      </c>
      <c r="AJ142" t="s">
        <v>2977</v>
      </c>
      <c r="AK142" t="s">
        <v>2977</v>
      </c>
      <c r="AL142" t="s">
        <v>3016</v>
      </c>
      <c r="AM142" t="s">
        <v>3008</v>
      </c>
      <c r="AN142" t="s">
        <v>3017</v>
      </c>
      <c r="AO142" t="s">
        <v>3018</v>
      </c>
      <c r="AP142" t="s">
        <v>3019</v>
      </c>
    </row>
    <row r="143" spans="1:42" x14ac:dyDescent="0.25">
      <c r="A143" t="s">
        <v>2997</v>
      </c>
      <c r="B143" t="s">
        <v>3020</v>
      </c>
      <c r="C143" t="s">
        <v>2997</v>
      </c>
      <c r="D143" t="s">
        <v>2997</v>
      </c>
      <c r="E143" t="s">
        <v>3021</v>
      </c>
      <c r="F143" t="s">
        <v>2997</v>
      </c>
      <c r="G143" t="s">
        <v>3002</v>
      </c>
      <c r="H143" t="s">
        <v>3022</v>
      </c>
      <c r="I143" t="s">
        <v>2997</v>
      </c>
      <c r="J143" t="s">
        <v>2997</v>
      </c>
      <c r="K143" t="s">
        <v>3002</v>
      </c>
      <c r="L143" t="s">
        <v>3004</v>
      </c>
      <c r="M143" t="s">
        <v>2992</v>
      </c>
      <c r="N143" t="s">
        <v>3004</v>
      </c>
      <c r="O143" t="s">
        <v>2997</v>
      </c>
      <c r="P143" t="s">
        <v>3023</v>
      </c>
      <c r="Q143" t="s">
        <v>2997</v>
      </c>
      <c r="R143" t="s">
        <v>3024</v>
      </c>
      <c r="S143" t="s">
        <v>2997</v>
      </c>
      <c r="T143" t="s">
        <v>2992</v>
      </c>
      <c r="U143" t="s">
        <v>2997</v>
      </c>
      <c r="V143" t="s">
        <v>2997</v>
      </c>
      <c r="W143" t="s">
        <v>2997</v>
      </c>
      <c r="X143" t="s">
        <v>3025</v>
      </c>
      <c r="Y143" t="s">
        <v>3002</v>
      </c>
      <c r="Z143" t="s">
        <v>3026</v>
      </c>
      <c r="AA143" t="s">
        <v>3004</v>
      </c>
      <c r="AB143" t="s">
        <v>3004</v>
      </c>
      <c r="AC143" t="s">
        <v>3027</v>
      </c>
      <c r="AD143" t="s">
        <v>2997</v>
      </c>
      <c r="AE143" t="s">
        <v>2997</v>
      </c>
      <c r="AF143" t="s">
        <v>3002</v>
      </c>
      <c r="AG143" t="s">
        <v>3028</v>
      </c>
      <c r="AH143" t="s">
        <v>3002</v>
      </c>
      <c r="AI143" t="s">
        <v>2997</v>
      </c>
      <c r="AJ143" t="s">
        <v>2997</v>
      </c>
      <c r="AK143" t="s">
        <v>2997</v>
      </c>
      <c r="AL143" t="s">
        <v>3029</v>
      </c>
      <c r="AM143" t="s">
        <v>3021</v>
      </c>
      <c r="AN143" t="s">
        <v>3030</v>
      </c>
      <c r="AO143" t="s">
        <v>3031</v>
      </c>
      <c r="AP143" t="s">
        <v>3032</v>
      </c>
    </row>
    <row r="144" spans="1:42" x14ac:dyDescent="0.25">
      <c r="A144" t="s">
        <v>3033</v>
      </c>
      <c r="B144" t="s">
        <v>3034</v>
      </c>
      <c r="C144" t="s">
        <v>3035</v>
      </c>
      <c r="D144" t="s">
        <v>3036</v>
      </c>
      <c r="E144" t="s">
        <v>3037</v>
      </c>
      <c r="F144" t="s">
        <v>3038</v>
      </c>
      <c r="G144" t="s">
        <v>3039</v>
      </c>
      <c r="H144" t="s">
        <v>3040</v>
      </c>
      <c r="I144" t="s">
        <v>3033</v>
      </c>
      <c r="J144" t="s">
        <v>3041</v>
      </c>
      <c r="K144" t="s">
        <v>3042</v>
      </c>
      <c r="L144" t="s">
        <v>3043</v>
      </c>
      <c r="M144" t="s">
        <v>3044</v>
      </c>
      <c r="N144" t="s">
        <v>3045</v>
      </c>
      <c r="O144" t="s">
        <v>3046</v>
      </c>
      <c r="P144" t="s">
        <v>3047</v>
      </c>
      <c r="Q144" t="s">
        <v>3048</v>
      </c>
      <c r="R144" t="s">
        <v>3049</v>
      </c>
      <c r="S144" t="s">
        <v>3050</v>
      </c>
      <c r="T144" t="s">
        <v>3051</v>
      </c>
      <c r="U144" t="s">
        <v>3052</v>
      </c>
      <c r="V144" t="s">
        <v>3053</v>
      </c>
      <c r="W144" t="s">
        <v>3054</v>
      </c>
      <c r="X144" t="s">
        <v>3055</v>
      </c>
      <c r="Y144" t="s">
        <v>3056</v>
      </c>
      <c r="Z144" t="s">
        <v>3057</v>
      </c>
      <c r="AA144" t="s">
        <v>3058</v>
      </c>
      <c r="AB144" t="s">
        <v>3059</v>
      </c>
      <c r="AC144" t="s">
        <v>3060</v>
      </c>
      <c r="AD144" t="s">
        <v>3061</v>
      </c>
      <c r="AE144" t="s">
        <v>3062</v>
      </c>
      <c r="AF144" t="s">
        <v>3063</v>
      </c>
      <c r="AG144" t="s">
        <v>3064</v>
      </c>
      <c r="AH144" t="s">
        <v>3065</v>
      </c>
      <c r="AI144" t="s">
        <v>3066</v>
      </c>
      <c r="AJ144" t="s">
        <v>3067</v>
      </c>
      <c r="AK144" t="s">
        <v>3068</v>
      </c>
      <c r="AL144" t="s">
        <v>3069</v>
      </c>
      <c r="AM144" t="s">
        <v>3070</v>
      </c>
      <c r="AN144" t="s">
        <v>3071</v>
      </c>
      <c r="AO144" t="s">
        <v>3072</v>
      </c>
      <c r="AP144" t="s">
        <v>3073</v>
      </c>
    </row>
    <row r="145" spans="1:42" x14ac:dyDescent="0.25">
      <c r="A145" s="1"/>
    </row>
    <row r="146" spans="1:42" x14ac:dyDescent="0.25">
      <c r="A146" s="1"/>
    </row>
    <row r="147" spans="1:42" x14ac:dyDescent="0.25">
      <c r="A147" s="1"/>
    </row>
    <row r="148" spans="1:42" x14ac:dyDescent="0.25">
      <c r="A148" s="1"/>
    </row>
    <row r="149" spans="1:42" x14ac:dyDescent="0.25">
      <c r="A149" s="1"/>
    </row>
    <row r="150" spans="1:42" x14ac:dyDescent="0.25">
      <c r="A150" s="1"/>
    </row>
    <row r="151" spans="1:42" x14ac:dyDescent="0.25">
      <c r="A151" s="1"/>
    </row>
    <row r="152" spans="1:42" x14ac:dyDescent="0.25">
      <c r="A152" s="1"/>
    </row>
    <row r="153" spans="1:42" x14ac:dyDescent="0.25">
      <c r="A153" s="1"/>
    </row>
    <row r="154" spans="1:42" x14ac:dyDescent="0.25">
      <c r="A154" s="1"/>
    </row>
    <row r="155" spans="1:42" x14ac:dyDescent="0.25">
      <c r="A155" s="1"/>
    </row>
    <row r="156" spans="1:42" x14ac:dyDescent="0.25">
      <c r="A156" s="1"/>
    </row>
    <row r="157" spans="1:42" x14ac:dyDescent="0.25">
      <c r="A157" t="s">
        <v>3074</v>
      </c>
      <c r="B157" t="s">
        <v>3075</v>
      </c>
      <c r="C157" t="s">
        <v>3076</v>
      </c>
      <c r="D157" t="s">
        <v>3077</v>
      </c>
      <c r="E157" t="s">
        <v>3078</v>
      </c>
      <c r="F157" t="s">
        <v>3079</v>
      </c>
      <c r="G157" t="s">
        <v>3080</v>
      </c>
      <c r="H157" t="s">
        <v>3081</v>
      </c>
      <c r="I157" t="s">
        <v>3082</v>
      </c>
      <c r="J157" t="s">
        <v>3083</v>
      </c>
      <c r="K157" t="s">
        <v>3084</v>
      </c>
      <c r="L157" t="s">
        <v>3085</v>
      </c>
      <c r="M157" t="s">
        <v>3086</v>
      </c>
      <c r="N157" t="s">
        <v>3087</v>
      </c>
      <c r="O157" t="s">
        <v>3087</v>
      </c>
      <c r="P157" t="s">
        <v>3088</v>
      </c>
      <c r="Q157" t="s">
        <v>3089</v>
      </c>
      <c r="R157" t="s">
        <v>3090</v>
      </c>
      <c r="S157" t="s">
        <v>3091</v>
      </c>
      <c r="T157" t="s">
        <v>3092</v>
      </c>
      <c r="U157" t="s">
        <v>3093</v>
      </c>
      <c r="V157" t="s">
        <v>3094</v>
      </c>
      <c r="W157" t="s">
        <v>3095</v>
      </c>
      <c r="X157" t="s">
        <v>3096</v>
      </c>
      <c r="Y157" t="s">
        <v>3097</v>
      </c>
      <c r="Z157" t="s">
        <v>3098</v>
      </c>
      <c r="AA157" t="s">
        <v>3099</v>
      </c>
      <c r="AB157" t="s">
        <v>3100</v>
      </c>
      <c r="AC157" t="s">
        <v>3101</v>
      </c>
      <c r="AD157" t="s">
        <v>3102</v>
      </c>
      <c r="AE157" t="s">
        <v>3103</v>
      </c>
      <c r="AF157" t="s">
        <v>3104</v>
      </c>
      <c r="AG157" t="s">
        <v>3105</v>
      </c>
      <c r="AH157" t="s">
        <v>3106</v>
      </c>
      <c r="AI157" t="s">
        <v>3107</v>
      </c>
      <c r="AJ157" t="s">
        <v>3108</v>
      </c>
      <c r="AK157" t="s">
        <v>3109</v>
      </c>
      <c r="AL157" t="s">
        <v>3110</v>
      </c>
      <c r="AM157" t="s">
        <v>3111</v>
      </c>
      <c r="AN157" t="s">
        <v>3112</v>
      </c>
      <c r="AO157" t="s">
        <v>3113</v>
      </c>
      <c r="AP157" t="s">
        <v>3114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72"/>
  <sheetViews>
    <sheetView showGridLines="0" workbookViewId="0">
      <selection activeCell="C4" sqref="C4"/>
    </sheetView>
  </sheetViews>
  <sheetFormatPr defaultColWidth="9.140625" defaultRowHeight="15" x14ac:dyDescent="0.25"/>
  <cols>
    <col min="1" max="1" width="1.140625" style="10" customWidth="1"/>
    <col min="2" max="2" width="18.85546875" style="10" bestFit="1" customWidth="1"/>
    <col min="3" max="3" width="20.28515625" style="10" customWidth="1"/>
    <col min="4" max="4" width="9.140625" style="10"/>
    <col min="5" max="5" width="1.140625" style="10" customWidth="1"/>
    <col min="6" max="6" width="9.140625" style="10"/>
    <col min="7" max="7" width="27.5703125" style="10" bestFit="1" customWidth="1"/>
    <col min="8" max="8" width="2.7109375" style="10" customWidth="1"/>
    <col min="9" max="9" width="1.140625" style="10" customWidth="1"/>
    <col min="10" max="16384" width="9.140625" style="10"/>
  </cols>
  <sheetData>
    <row r="1" spans="2:17" ht="7.5" customHeight="1" x14ac:dyDescent="0.25"/>
    <row r="2" spans="2:17" ht="16.5" thickBot="1" x14ac:dyDescent="0.3">
      <c r="B2" s="39" t="s">
        <v>3115</v>
      </c>
      <c r="C2" s="40"/>
      <c r="D2" s="41"/>
      <c r="F2" s="39" t="s">
        <v>3116</v>
      </c>
      <c r="G2" s="40"/>
      <c r="H2" s="41"/>
    </row>
    <row r="3" spans="2:17" ht="9" customHeight="1" x14ac:dyDescent="0.25">
      <c r="B3" s="42"/>
      <c r="C3" s="43"/>
      <c r="D3" s="44"/>
      <c r="F3" s="42"/>
      <c r="G3" s="43"/>
      <c r="H3" s="44"/>
    </row>
    <row r="4" spans="2:17" x14ac:dyDescent="0.25">
      <c r="B4" s="54" t="s">
        <v>3117</v>
      </c>
      <c r="C4" s="60" t="s">
        <v>0</v>
      </c>
      <c r="D4" s="44"/>
      <c r="F4" s="42"/>
      <c r="G4" s="45"/>
      <c r="H4" s="44"/>
    </row>
    <row r="5" spans="2:17" x14ac:dyDescent="0.25">
      <c r="B5" s="42"/>
      <c r="C5" s="43"/>
      <c r="D5" s="44"/>
      <c r="F5" s="46" t="s">
        <v>3118</v>
      </c>
      <c r="G5" s="47" t="s">
        <v>3119</v>
      </c>
      <c r="H5" s="44"/>
    </row>
    <row r="6" spans="2:17" x14ac:dyDescent="0.25">
      <c r="B6" s="54" t="s">
        <v>3120</v>
      </c>
      <c r="C6" s="60" t="s">
        <v>3121</v>
      </c>
      <c r="D6" s="44"/>
      <c r="F6" s="46" t="s">
        <v>3122</v>
      </c>
      <c r="G6" s="48" t="s">
        <v>3123</v>
      </c>
      <c r="H6" s="44"/>
    </row>
    <row r="7" spans="2:17" x14ac:dyDescent="0.25">
      <c r="B7" s="42"/>
      <c r="C7" s="43"/>
      <c r="D7" s="44"/>
      <c r="F7" s="46" t="s">
        <v>3124</v>
      </c>
      <c r="G7" s="48" t="s">
        <v>3125</v>
      </c>
      <c r="H7" s="44"/>
    </row>
    <row r="8" spans="2:17" x14ac:dyDescent="0.25">
      <c r="B8" s="54" t="s">
        <v>3126</v>
      </c>
      <c r="C8" s="60" t="s">
        <v>3127</v>
      </c>
      <c r="D8" s="44"/>
      <c r="F8" s="46" t="s">
        <v>3128</v>
      </c>
      <c r="G8" s="48" t="s">
        <v>3129</v>
      </c>
      <c r="H8" s="44"/>
    </row>
    <row r="9" spans="2:17" x14ac:dyDescent="0.25">
      <c r="B9" s="42"/>
      <c r="C9" s="43"/>
      <c r="D9" s="44"/>
      <c r="F9" s="46" t="s">
        <v>3130</v>
      </c>
      <c r="G9" s="49" t="s">
        <v>3131</v>
      </c>
      <c r="H9" s="44"/>
    </row>
    <row r="10" spans="2:17" x14ac:dyDescent="0.25">
      <c r="B10" s="54" t="s">
        <v>3132</v>
      </c>
      <c r="C10" s="60" t="s">
        <v>3133</v>
      </c>
      <c r="D10" s="44"/>
      <c r="F10" s="42"/>
      <c r="G10" s="50"/>
      <c r="H10" s="44"/>
    </row>
    <row r="11" spans="2:17" x14ac:dyDescent="0.25">
      <c r="B11" s="42"/>
      <c r="C11" s="43"/>
      <c r="D11" s="44"/>
      <c r="F11" s="51"/>
      <c r="G11" s="52"/>
      <c r="H11" s="53"/>
    </row>
    <row r="12" spans="2:17" x14ac:dyDescent="0.25">
      <c r="B12" s="54" t="s">
        <v>3134</v>
      </c>
      <c r="C12" s="60" t="s">
        <v>2426</v>
      </c>
      <c r="D12" s="44"/>
      <c r="F12" s="122"/>
      <c r="G12" s="122"/>
      <c r="H12" s="122"/>
      <c r="I12" s="122"/>
      <c r="J12" s="122"/>
      <c r="K12" s="76"/>
      <c r="L12" s="76"/>
      <c r="M12" s="76"/>
      <c r="N12" s="76"/>
      <c r="O12" s="76"/>
      <c r="P12" s="76"/>
      <c r="Q12" s="76"/>
    </row>
    <row r="13" spans="2:17" ht="9" customHeight="1" x14ac:dyDescent="0.25">
      <c r="B13" s="51"/>
      <c r="C13" s="52"/>
      <c r="D13" s="53"/>
      <c r="F13" s="122"/>
      <c r="G13" s="122"/>
      <c r="H13" s="122"/>
      <c r="I13" s="122"/>
      <c r="J13" s="122"/>
      <c r="K13" s="76"/>
      <c r="L13" s="76"/>
      <c r="M13" s="76"/>
      <c r="N13" s="76"/>
      <c r="O13" s="76"/>
      <c r="P13" s="76"/>
      <c r="Q13" s="76"/>
    </row>
    <row r="14" spans="2:17" ht="9" customHeight="1" x14ac:dyDescent="0.25">
      <c r="F14" s="122"/>
      <c r="G14" s="122"/>
      <c r="H14" s="122"/>
      <c r="I14" s="122"/>
      <c r="J14" s="122"/>
      <c r="K14" s="76"/>
      <c r="L14" s="76"/>
      <c r="M14" s="76"/>
      <c r="N14" s="76"/>
      <c r="O14" s="76"/>
      <c r="P14" s="76"/>
      <c r="Q14" s="76"/>
    </row>
    <row r="15" spans="2:17" ht="9" customHeight="1" x14ac:dyDescent="0.25">
      <c r="B15" s="55"/>
      <c r="C15" s="56"/>
      <c r="D15" s="57"/>
      <c r="F15" s="122" t="s">
        <v>3135</v>
      </c>
      <c r="G15" s="122">
        <f>IF(ISERROR(MATCH(C4,lang_list,0)),1,MATCH(C4,lang_list,0))</f>
        <v>1</v>
      </c>
      <c r="H15" s="122"/>
      <c r="I15" s="122" t="str">
        <f>IFERROR(VLOOKUP(C12,T,lang,FALSE),"")</f>
        <v>Algeria</v>
      </c>
      <c r="J15" s="122"/>
      <c r="K15" s="76"/>
      <c r="L15" s="76"/>
      <c r="M15" s="76"/>
      <c r="N15" s="76"/>
      <c r="O15" s="76"/>
      <c r="P15" s="76"/>
      <c r="Q15" s="76"/>
    </row>
    <row r="16" spans="2:17" ht="15.75" x14ac:dyDescent="0.25">
      <c r="B16" s="42"/>
      <c r="C16" s="58" t="s">
        <v>3131</v>
      </c>
      <c r="D16" s="44"/>
      <c r="F16" s="122" t="s">
        <v>3136</v>
      </c>
      <c r="G16" s="122">
        <f>TIME(VLOOKUP(C8,F18:G42,2,FALSE),VLOOKUP(C10,F44:G47,2,FALSE),0)+IF(C6="Yes",TIME(1,0,0),0)</f>
        <v>0.25</v>
      </c>
      <c r="H16" s="122"/>
      <c r="I16" s="122"/>
      <c r="J16" s="122"/>
      <c r="K16" s="76"/>
      <c r="L16" s="76"/>
      <c r="M16" s="76"/>
      <c r="N16" s="76"/>
      <c r="O16" s="76"/>
      <c r="P16" s="76"/>
      <c r="Q16" s="76"/>
    </row>
    <row r="17" spans="2:17" x14ac:dyDescent="0.25">
      <c r="B17" s="59" t="str">
        <f>VLOOKUP("France",T,lang,FALSE)</f>
        <v>France</v>
      </c>
      <c r="C17" s="65">
        <v>1877.32</v>
      </c>
      <c r="D17" s="44"/>
      <c r="F17" s="122"/>
      <c r="G17" s="122"/>
      <c r="H17" s="122"/>
      <c r="I17" s="122" t="s">
        <v>2426</v>
      </c>
      <c r="J17" s="122"/>
      <c r="K17" s="76"/>
      <c r="L17" s="76"/>
      <c r="M17" s="76"/>
      <c r="N17" s="76"/>
      <c r="O17" s="76"/>
      <c r="P17" s="76"/>
      <c r="Q17" s="76"/>
    </row>
    <row r="18" spans="2:17" x14ac:dyDescent="0.25">
      <c r="B18" s="59" t="str">
        <f>VLOOKUP("Spain",T,lang,FALSE)</f>
        <v>Spain</v>
      </c>
      <c r="C18" s="66">
        <v>1876.4</v>
      </c>
      <c r="D18" s="44"/>
      <c r="F18" s="122" t="s">
        <v>3137</v>
      </c>
      <c r="G18" s="122">
        <v>0</v>
      </c>
      <c r="H18" s="122"/>
      <c r="I18" s="122" t="s">
        <v>1264</v>
      </c>
      <c r="J18" s="122"/>
      <c r="K18" s="76"/>
      <c r="L18" s="76"/>
      <c r="M18" s="76"/>
      <c r="N18" s="76"/>
      <c r="O18" s="76"/>
      <c r="P18" s="76"/>
      <c r="Q18" s="76"/>
    </row>
    <row r="19" spans="2:17" x14ac:dyDescent="0.25">
      <c r="B19" s="59" t="str">
        <f>VLOOKUP("Argentina",T,lang,FALSE)</f>
        <v>Argentina</v>
      </c>
      <c r="C19" s="66">
        <v>1874.82</v>
      </c>
      <c r="D19" s="44"/>
      <c r="F19" s="122" t="s">
        <v>3138</v>
      </c>
      <c r="G19" s="122">
        <v>1</v>
      </c>
      <c r="H19" s="122"/>
      <c r="I19" s="122" t="s">
        <v>1419</v>
      </c>
      <c r="J19" s="122"/>
      <c r="K19" s="76"/>
      <c r="L19" s="76"/>
      <c r="M19" s="76"/>
      <c r="N19" s="76"/>
      <c r="O19" s="76"/>
      <c r="P19" s="76"/>
      <c r="Q19" s="76"/>
    </row>
    <row r="20" spans="2:17" x14ac:dyDescent="0.25">
      <c r="B20" s="59" t="str">
        <f>VLOOKUP("England",T,lang,FALSE)</f>
        <v>England</v>
      </c>
      <c r="C20" s="66">
        <v>1825.97</v>
      </c>
      <c r="D20" s="44"/>
      <c r="F20" s="122" t="s">
        <v>3139</v>
      </c>
      <c r="G20" s="122">
        <v>2</v>
      </c>
      <c r="H20" s="122"/>
      <c r="I20" s="122" t="s">
        <v>2458</v>
      </c>
      <c r="J20" s="122"/>
      <c r="K20" s="76"/>
      <c r="L20" s="76"/>
      <c r="M20" s="76"/>
      <c r="N20" s="76"/>
      <c r="O20" s="76"/>
      <c r="P20" s="76"/>
      <c r="Q20" s="76"/>
    </row>
    <row r="21" spans="2:17" x14ac:dyDescent="0.25">
      <c r="B21" s="59" t="str">
        <f>VLOOKUP("Portugal",T,lang,FALSE)</f>
        <v>Portugal</v>
      </c>
      <c r="C21" s="66">
        <v>1763.83</v>
      </c>
      <c r="D21" s="44"/>
      <c r="F21" s="122" t="s">
        <v>3140</v>
      </c>
      <c r="G21" s="122">
        <v>3</v>
      </c>
      <c r="H21" s="122"/>
      <c r="I21" s="122" t="s">
        <v>1633</v>
      </c>
      <c r="J21" s="122"/>
      <c r="K21" s="76"/>
      <c r="L21" s="76"/>
      <c r="M21" s="76"/>
      <c r="N21" s="76"/>
      <c r="O21" s="76"/>
      <c r="P21" s="76"/>
      <c r="Q21" s="76"/>
    </row>
    <row r="22" spans="2:17" x14ac:dyDescent="0.25">
      <c r="B22" s="59" t="str">
        <f>VLOOKUP("Brazil",T,lang,FALSE)</f>
        <v>Brazil</v>
      </c>
      <c r="C22" s="66">
        <v>1761.16</v>
      </c>
      <c r="D22" s="44"/>
      <c r="F22" s="122" t="s">
        <v>3141</v>
      </c>
      <c r="G22" s="122">
        <v>4</v>
      </c>
      <c r="H22" s="122"/>
      <c r="I22" s="122" t="s">
        <v>1995</v>
      </c>
      <c r="J22" s="122"/>
      <c r="K22" s="76"/>
      <c r="L22" s="76"/>
      <c r="M22" s="76"/>
      <c r="N22" s="76"/>
      <c r="O22" s="76"/>
      <c r="P22" s="76"/>
      <c r="Q22" s="76"/>
    </row>
    <row r="23" spans="2:17" x14ac:dyDescent="0.25">
      <c r="B23" s="59" t="str">
        <f>VLOOKUP("Netherlands",T,lang,FALSE)</f>
        <v>Netherlands</v>
      </c>
      <c r="C23" s="66">
        <v>1757.87</v>
      </c>
      <c r="D23" s="44"/>
      <c r="F23" s="122" t="s">
        <v>3142</v>
      </c>
      <c r="G23" s="122">
        <v>5</v>
      </c>
      <c r="H23" s="122"/>
      <c r="I23" s="122" t="s">
        <v>1739</v>
      </c>
      <c r="J23" s="122"/>
      <c r="K23" s="76"/>
      <c r="L23" s="76"/>
      <c r="M23" s="76"/>
      <c r="N23" s="76"/>
      <c r="O23" s="76"/>
      <c r="P23" s="76"/>
      <c r="Q23" s="76"/>
    </row>
    <row r="24" spans="2:17" x14ac:dyDescent="0.25">
      <c r="B24" s="59" t="str">
        <f>VLOOKUP("Morocco",T,lang,FALSE)</f>
        <v>Morocco</v>
      </c>
      <c r="C24" s="66">
        <v>1755.87</v>
      </c>
      <c r="D24" s="44"/>
      <c r="F24" s="122" t="s">
        <v>3127</v>
      </c>
      <c r="G24" s="122">
        <v>6</v>
      </c>
      <c r="H24" s="122"/>
      <c r="I24" s="122" t="s">
        <v>1662</v>
      </c>
      <c r="J24" s="122"/>
      <c r="K24" s="76"/>
      <c r="L24" s="76"/>
      <c r="M24" s="76"/>
      <c r="N24" s="76"/>
      <c r="O24" s="76"/>
      <c r="P24" s="76"/>
      <c r="Q24" s="76"/>
    </row>
    <row r="25" spans="2:17" x14ac:dyDescent="0.25">
      <c r="B25" s="59" t="str">
        <f>VLOOKUP("Belgium",T,lang,FALSE)</f>
        <v>Belgium</v>
      </c>
      <c r="C25" s="66">
        <v>1734.71</v>
      </c>
      <c r="D25" s="44"/>
      <c r="F25" s="122" t="s">
        <v>3143</v>
      </c>
      <c r="G25" s="122">
        <v>7</v>
      </c>
      <c r="H25" s="122"/>
      <c r="I25" s="122" t="s">
        <v>2340</v>
      </c>
      <c r="J25" s="122"/>
      <c r="K25" s="76"/>
      <c r="L25" s="76"/>
      <c r="M25" s="76"/>
      <c r="N25" s="76"/>
      <c r="O25" s="76"/>
      <c r="P25" s="76"/>
      <c r="Q25" s="76"/>
    </row>
    <row r="26" spans="2:17" x14ac:dyDescent="0.25">
      <c r="B26" s="59" t="str">
        <f>VLOOKUP("Germany",T,lang,FALSE)</f>
        <v>Germany</v>
      </c>
      <c r="C26" s="66">
        <v>1730.37</v>
      </c>
      <c r="D26" s="44"/>
      <c r="F26" s="122" t="s">
        <v>3144</v>
      </c>
      <c r="G26" s="122">
        <v>8</v>
      </c>
      <c r="H26" s="122"/>
      <c r="I26" s="122" t="s">
        <v>2573</v>
      </c>
      <c r="J26" s="122"/>
      <c r="K26" s="76"/>
      <c r="L26" s="76"/>
      <c r="M26" s="76"/>
      <c r="N26" s="76"/>
      <c r="O26" s="76"/>
      <c r="P26" s="76"/>
      <c r="Q26" s="76"/>
    </row>
    <row r="27" spans="2:17" x14ac:dyDescent="0.25">
      <c r="B27" s="59" t="str">
        <f>VLOOKUP("Croatia",T,lang,FALSE)</f>
        <v>Croatia</v>
      </c>
      <c r="C27" s="66">
        <v>1717.07</v>
      </c>
      <c r="D27" s="44"/>
      <c r="F27" s="122" t="s">
        <v>3145</v>
      </c>
      <c r="G27" s="122">
        <v>9</v>
      </c>
      <c r="H27" s="122"/>
      <c r="I27" s="122" t="s">
        <v>1703</v>
      </c>
      <c r="J27" s="122"/>
      <c r="K27" s="76"/>
      <c r="L27" s="76"/>
      <c r="M27" s="76"/>
      <c r="N27" s="76"/>
      <c r="O27" s="76"/>
      <c r="P27" s="76"/>
      <c r="Q27" s="76"/>
    </row>
    <row r="28" spans="2:17" x14ac:dyDescent="0.25">
      <c r="B28" s="59" t="str">
        <f>VLOOKUP("Colombia",T,lang,FALSE)</f>
        <v>Colombia</v>
      </c>
      <c r="C28" s="66">
        <v>1693.09</v>
      </c>
      <c r="D28" s="44"/>
      <c r="F28" s="122" t="s">
        <v>3146</v>
      </c>
      <c r="G28" s="122">
        <v>10</v>
      </c>
      <c r="H28" s="122"/>
      <c r="I28" s="122" t="s">
        <v>2183</v>
      </c>
      <c r="J28" s="122"/>
      <c r="K28" s="76"/>
      <c r="L28" s="76"/>
      <c r="M28" s="76"/>
      <c r="N28" s="76"/>
      <c r="O28" s="76"/>
      <c r="P28" s="76"/>
      <c r="Q28" s="76"/>
    </row>
    <row r="29" spans="2:17" x14ac:dyDescent="0.25">
      <c r="B29" s="59" t="str">
        <f>VLOOKUP("Senegal",T,lang,FALSE)</f>
        <v>Senegal</v>
      </c>
      <c r="C29" s="66">
        <v>1688.99</v>
      </c>
      <c r="D29" s="44"/>
      <c r="F29" s="122" t="s">
        <v>3147</v>
      </c>
      <c r="G29" s="122">
        <v>11</v>
      </c>
      <c r="H29" s="122"/>
      <c r="I29" s="122" t="s">
        <v>2033</v>
      </c>
      <c r="J29" s="122"/>
      <c r="K29" s="76"/>
      <c r="L29" s="76"/>
      <c r="M29" s="76"/>
      <c r="N29" s="76"/>
      <c r="O29" s="76"/>
      <c r="P29" s="76"/>
      <c r="Q29" s="76"/>
    </row>
    <row r="30" spans="2:17" x14ac:dyDescent="0.25">
      <c r="B30" s="59" t="str">
        <f>VLOOKUP("Mexico",T,lang,FALSE)</f>
        <v>Mexico</v>
      </c>
      <c r="C30" s="66">
        <v>1681.03</v>
      </c>
      <c r="D30" s="44"/>
      <c r="F30" s="122" t="s">
        <v>3148</v>
      </c>
      <c r="G30" s="122">
        <v>12</v>
      </c>
      <c r="H30" s="122"/>
      <c r="I30" s="122" t="s">
        <v>2524</v>
      </c>
      <c r="J30" s="122"/>
      <c r="K30" s="76"/>
      <c r="L30" s="76"/>
      <c r="M30" s="76"/>
      <c r="N30" s="76"/>
      <c r="O30" s="76"/>
      <c r="P30" s="76"/>
      <c r="Q30" s="76"/>
    </row>
    <row r="31" spans="2:17" x14ac:dyDescent="0.25">
      <c r="B31" s="59" t="str">
        <f>VLOOKUP("United States",T,lang,FALSE)</f>
        <v>United States</v>
      </c>
      <c r="C31" s="66">
        <v>1673.13</v>
      </c>
      <c r="D31" s="44"/>
      <c r="F31" s="122" t="s">
        <v>3149</v>
      </c>
      <c r="G31" s="122">
        <v>13</v>
      </c>
      <c r="H31" s="122"/>
      <c r="I31" s="122" t="s">
        <v>1093</v>
      </c>
      <c r="J31" s="122"/>
      <c r="K31" s="76"/>
      <c r="L31" s="76"/>
      <c r="M31" s="76"/>
      <c r="N31" s="76"/>
      <c r="O31" s="76"/>
      <c r="P31" s="76"/>
      <c r="Q31" s="76"/>
    </row>
    <row r="32" spans="2:17" x14ac:dyDescent="0.25">
      <c r="B32" s="59" t="str">
        <f>VLOOKUP("Uruguay",T,lang,FALSE)</f>
        <v>Uruguay</v>
      </c>
      <c r="C32" s="66">
        <v>1673.07</v>
      </c>
      <c r="D32" s="44"/>
      <c r="F32" s="122" t="s">
        <v>3150</v>
      </c>
      <c r="G32" s="122">
        <v>14</v>
      </c>
      <c r="H32" s="122"/>
      <c r="I32" s="122" t="s">
        <v>2274</v>
      </c>
      <c r="J32" s="122"/>
      <c r="K32" s="76"/>
      <c r="L32" s="76"/>
      <c r="M32" s="76"/>
      <c r="N32" s="76"/>
      <c r="O32" s="76"/>
      <c r="P32" s="76"/>
      <c r="Q32" s="76"/>
    </row>
    <row r="33" spans="2:17" x14ac:dyDescent="0.25">
      <c r="B33" s="59" t="str">
        <f>VLOOKUP("Japan",T,lang,FALSE)</f>
        <v>Japan</v>
      </c>
      <c r="C33" s="66">
        <v>1660.43</v>
      </c>
      <c r="D33" s="44"/>
      <c r="F33" s="122" t="s">
        <v>3151</v>
      </c>
      <c r="G33" s="122">
        <v>15</v>
      </c>
      <c r="H33" s="122"/>
      <c r="I33" s="122" t="s">
        <v>1148</v>
      </c>
      <c r="J33" s="122"/>
      <c r="K33" s="76"/>
      <c r="L33" s="76"/>
      <c r="M33" s="76"/>
      <c r="N33" s="76"/>
      <c r="O33" s="76"/>
      <c r="P33" s="76"/>
      <c r="Q33" s="76"/>
    </row>
    <row r="34" spans="2:17" x14ac:dyDescent="0.25">
      <c r="B34" s="59" t="str">
        <f>VLOOKUP("Switzerland",T,lang,FALSE)</f>
        <v>Switzerland</v>
      </c>
      <c r="C34" s="66">
        <v>1649.4</v>
      </c>
      <c r="D34" s="44"/>
      <c r="F34" s="122" t="s">
        <v>3152</v>
      </c>
      <c r="G34" s="122">
        <v>16</v>
      </c>
      <c r="H34" s="122"/>
      <c r="I34" s="122" t="s">
        <v>1384</v>
      </c>
      <c r="J34" s="122"/>
      <c r="K34" s="76"/>
      <c r="L34" s="76"/>
      <c r="M34" s="76"/>
      <c r="N34" s="76"/>
      <c r="O34" s="76"/>
      <c r="P34" s="76"/>
      <c r="Q34" s="76"/>
    </row>
    <row r="35" spans="2:17" x14ac:dyDescent="0.25">
      <c r="B35" s="59" t="str">
        <f>VLOOKUP("Iran",T,lang,FALSE)</f>
        <v>Iran</v>
      </c>
      <c r="C35" s="66">
        <v>1615.3</v>
      </c>
      <c r="D35" s="44"/>
      <c r="F35" s="122" t="s">
        <v>3153</v>
      </c>
      <c r="G35" s="122">
        <v>17</v>
      </c>
      <c r="H35" s="122"/>
      <c r="I35" s="122" t="s">
        <v>1565</v>
      </c>
      <c r="J35" s="122"/>
      <c r="K35" s="76"/>
      <c r="L35" s="76"/>
      <c r="M35" s="76"/>
      <c r="N35" s="76"/>
      <c r="O35" s="76"/>
      <c r="P35" s="76"/>
      <c r="Q35" s="76"/>
    </row>
    <row r="36" spans="2:17" x14ac:dyDescent="0.25">
      <c r="B36" s="59" t="str">
        <f>VLOOKUP("Turkey",T,lang,FALSE)</f>
        <v>Turkey</v>
      </c>
      <c r="C36" s="66">
        <v>1599.04</v>
      </c>
      <c r="D36" s="44"/>
      <c r="F36" s="122" t="s">
        <v>3154</v>
      </c>
      <c r="G36" s="122">
        <v>18</v>
      </c>
      <c r="H36" s="122"/>
      <c r="I36" s="122" t="s">
        <v>1883</v>
      </c>
      <c r="J36" s="122"/>
      <c r="K36" s="76"/>
      <c r="L36" s="76"/>
      <c r="M36" s="76"/>
      <c r="N36" s="76"/>
      <c r="O36" s="76"/>
      <c r="P36" s="76"/>
      <c r="Q36" s="76"/>
    </row>
    <row r="37" spans="2:17" x14ac:dyDescent="0.25">
      <c r="B37" s="59" t="str">
        <f>VLOOKUP("Ecuador",T,lang,FALSE)</f>
        <v>Ecuador</v>
      </c>
      <c r="C37" s="66">
        <v>1594.78</v>
      </c>
      <c r="D37" s="44"/>
      <c r="F37" s="122" t="s">
        <v>3155</v>
      </c>
      <c r="G37" s="122">
        <v>19</v>
      </c>
      <c r="H37" s="122"/>
      <c r="I37" s="122" t="s">
        <v>2072</v>
      </c>
      <c r="J37" s="122"/>
      <c r="K37" s="76"/>
      <c r="L37" s="76"/>
      <c r="M37" s="76"/>
      <c r="N37" s="76"/>
      <c r="O37" s="76"/>
      <c r="P37" s="76"/>
      <c r="Q37" s="76"/>
    </row>
    <row r="38" spans="2:17" x14ac:dyDescent="0.25">
      <c r="B38" s="59" t="str">
        <f>VLOOKUP("Austria",T,lang,FALSE)</f>
        <v>Austria</v>
      </c>
      <c r="C38" s="66">
        <v>1593.45</v>
      </c>
      <c r="D38" s="44"/>
      <c r="F38" s="122" t="s">
        <v>3156</v>
      </c>
      <c r="G38" s="122">
        <v>20</v>
      </c>
      <c r="H38" s="122"/>
      <c r="I38" s="122" t="s">
        <v>1180</v>
      </c>
      <c r="J38" s="122"/>
      <c r="K38" s="76"/>
      <c r="L38" s="76"/>
      <c r="M38" s="76"/>
      <c r="N38" s="76"/>
      <c r="O38" s="76"/>
      <c r="P38" s="76"/>
      <c r="Q38" s="76"/>
    </row>
    <row r="39" spans="2:17" x14ac:dyDescent="0.25">
      <c r="B39" s="59" t="str">
        <f>VLOOKUP("Korea Republic",T,lang,FALSE)</f>
        <v>Korea Republic</v>
      </c>
      <c r="C39" s="66">
        <v>1588.66</v>
      </c>
      <c r="D39" s="44"/>
      <c r="F39" s="122" t="s">
        <v>3157</v>
      </c>
      <c r="G39" s="122">
        <v>21</v>
      </c>
      <c r="H39" s="122"/>
      <c r="I39" s="122" t="s">
        <v>2375</v>
      </c>
      <c r="J39" s="122"/>
      <c r="K39" s="76"/>
      <c r="L39" s="76"/>
      <c r="M39" s="76"/>
      <c r="N39" s="76"/>
      <c r="O39" s="76"/>
      <c r="P39" s="76"/>
      <c r="Q39" s="76"/>
    </row>
    <row r="40" spans="2:17" x14ac:dyDescent="0.25">
      <c r="B40" s="59" t="str">
        <f>VLOOKUP("Australia",T,lang,FALSE)</f>
        <v>Australia</v>
      </c>
      <c r="C40" s="66">
        <v>1580.67</v>
      </c>
      <c r="D40" s="44"/>
      <c r="F40" s="122" t="s">
        <v>3158</v>
      </c>
      <c r="G40" s="122">
        <v>22</v>
      </c>
      <c r="H40" s="122"/>
      <c r="I40" s="122" t="s">
        <v>2201</v>
      </c>
      <c r="J40" s="122"/>
      <c r="K40" s="76"/>
      <c r="L40" s="76"/>
      <c r="M40" s="76"/>
      <c r="N40" s="76"/>
      <c r="O40" s="76"/>
      <c r="P40" s="76"/>
      <c r="Q40" s="76"/>
    </row>
    <row r="41" spans="2:17" x14ac:dyDescent="0.25">
      <c r="B41" s="59" t="str">
        <f>VLOOKUP("Algeria",T,lang,FALSE)</f>
        <v>Algeria</v>
      </c>
      <c r="C41" s="66">
        <v>1564.26</v>
      </c>
      <c r="D41" s="44"/>
      <c r="F41" s="122" t="s">
        <v>3159</v>
      </c>
      <c r="G41" s="122">
        <v>23</v>
      </c>
      <c r="H41" s="122"/>
      <c r="I41" s="122" t="s">
        <v>1604</v>
      </c>
      <c r="J41" s="122"/>
      <c r="K41" s="76"/>
      <c r="L41" s="76"/>
      <c r="M41" s="76"/>
      <c r="N41" s="76"/>
      <c r="O41" s="76"/>
      <c r="P41" s="76"/>
      <c r="Q41" s="76"/>
    </row>
    <row r="42" spans="2:17" x14ac:dyDescent="0.25">
      <c r="B42" s="59" t="str">
        <f>VLOOKUP("Egypt",T,lang,FALSE)</f>
        <v>Egypt</v>
      </c>
      <c r="C42" s="66">
        <v>1563.24</v>
      </c>
      <c r="D42" s="44"/>
      <c r="F42" s="122" t="s">
        <v>3160</v>
      </c>
      <c r="G42" s="122">
        <v>24</v>
      </c>
      <c r="H42" s="122"/>
      <c r="I42" s="122" t="s">
        <v>2493</v>
      </c>
      <c r="J42" s="122"/>
      <c r="K42" s="76"/>
      <c r="L42" s="76"/>
      <c r="M42" s="76"/>
      <c r="N42" s="76"/>
      <c r="O42" s="76"/>
      <c r="P42" s="76"/>
      <c r="Q42" s="76"/>
    </row>
    <row r="43" spans="2:17" x14ac:dyDescent="0.25">
      <c r="B43" s="59" t="str">
        <f>VLOOKUP("Canada",T,lang,FALSE)</f>
        <v>Canada</v>
      </c>
      <c r="C43" s="66">
        <v>1556.48</v>
      </c>
      <c r="D43" s="44"/>
      <c r="F43" s="122"/>
      <c r="G43" s="122"/>
      <c r="H43" s="122"/>
      <c r="I43" s="122" t="s">
        <v>1920</v>
      </c>
      <c r="J43" s="122"/>
      <c r="K43" s="76"/>
      <c r="L43" s="76"/>
      <c r="M43" s="76"/>
      <c r="N43" s="76"/>
      <c r="O43" s="76"/>
      <c r="P43" s="76"/>
      <c r="Q43" s="76"/>
    </row>
    <row r="44" spans="2:17" x14ac:dyDescent="0.25">
      <c r="B44" s="59" t="str">
        <f>VLOOKUP("Norway",T,lang,FALSE)</f>
        <v>Norway</v>
      </c>
      <c r="C44" s="66">
        <v>1550.94</v>
      </c>
      <c r="D44" s="44"/>
      <c r="F44" s="122" t="s">
        <v>3133</v>
      </c>
      <c r="G44" s="122">
        <v>0</v>
      </c>
      <c r="H44" s="122"/>
      <c r="I44" s="122" t="s">
        <v>1323</v>
      </c>
      <c r="J44" s="122"/>
      <c r="K44" s="76"/>
      <c r="L44" s="76"/>
      <c r="M44" s="76"/>
      <c r="N44" s="76"/>
      <c r="O44" s="76"/>
      <c r="P44" s="76"/>
      <c r="Q44" s="76"/>
    </row>
    <row r="45" spans="2:17" x14ac:dyDescent="0.25">
      <c r="B45" s="59" t="str">
        <f>VLOOKUP("Panama",T,lang,FALSE)</f>
        <v>Panama</v>
      </c>
      <c r="C45" s="66">
        <v>1540.64</v>
      </c>
      <c r="D45" s="44"/>
      <c r="F45" s="122" t="s">
        <v>3161</v>
      </c>
      <c r="G45" s="122">
        <v>15</v>
      </c>
      <c r="H45" s="122"/>
      <c r="I45" s="122" t="s">
        <v>1677</v>
      </c>
      <c r="J45" s="122"/>
      <c r="K45" s="76"/>
      <c r="L45" s="76"/>
      <c r="M45" s="76"/>
      <c r="N45" s="76"/>
      <c r="O45" s="76"/>
      <c r="P45" s="76"/>
      <c r="Q45" s="76"/>
    </row>
    <row r="46" spans="2:17" x14ac:dyDescent="0.25">
      <c r="B46" s="59" t="str">
        <f>VLOOKUP("Ivory Coast",T,lang,FALSE)</f>
        <v>Ivory Coast</v>
      </c>
      <c r="C46" s="66">
        <v>1532.98</v>
      </c>
      <c r="D46" s="44"/>
      <c r="F46" s="122" t="s">
        <v>3162</v>
      </c>
      <c r="G46" s="122">
        <v>30</v>
      </c>
      <c r="H46" s="122"/>
      <c r="I46" s="122" t="s">
        <v>1113</v>
      </c>
      <c r="J46" s="122"/>
      <c r="K46" s="76"/>
      <c r="L46" s="76"/>
      <c r="M46" s="76"/>
      <c r="N46" s="76"/>
      <c r="O46" s="76"/>
      <c r="P46" s="76"/>
      <c r="Q46" s="76"/>
    </row>
    <row r="47" spans="2:17" x14ac:dyDescent="0.25">
      <c r="B47" s="59" t="str">
        <f>VLOOKUP("Sweden",T,lang,FALSE)</f>
        <v>Sweden</v>
      </c>
      <c r="C47" s="66">
        <v>1514.77</v>
      </c>
      <c r="D47" s="44"/>
      <c r="F47" s="122" t="s">
        <v>3163</v>
      </c>
      <c r="G47" s="122">
        <v>45</v>
      </c>
      <c r="H47" s="122"/>
      <c r="I47" s="122" t="s">
        <v>2304</v>
      </c>
      <c r="J47" s="122"/>
      <c r="K47" s="76"/>
      <c r="L47" s="76"/>
      <c r="M47" s="76"/>
      <c r="N47" s="76"/>
      <c r="O47" s="76"/>
      <c r="P47" s="76"/>
      <c r="Q47" s="76"/>
    </row>
    <row r="48" spans="2:17" x14ac:dyDescent="0.25">
      <c r="B48" s="59" t="str">
        <f>VLOOKUP("Paraguay",T,lang,FALSE)</f>
        <v>Paraguay</v>
      </c>
      <c r="C48" s="66">
        <v>1503.5</v>
      </c>
      <c r="D48" s="44"/>
      <c r="F48" s="122"/>
      <c r="G48" s="122"/>
      <c r="H48" s="122"/>
      <c r="I48" s="122" t="s">
        <v>2395</v>
      </c>
      <c r="J48" s="122"/>
      <c r="K48" s="76"/>
      <c r="L48" s="76"/>
      <c r="M48" s="76"/>
      <c r="N48" s="76"/>
      <c r="O48" s="76"/>
      <c r="P48" s="76"/>
      <c r="Q48" s="76"/>
    </row>
    <row r="49" spans="2:17" x14ac:dyDescent="0.25">
      <c r="B49" s="59" t="str">
        <f>VLOOKUP("Czech Republic",T,lang,FALSE)</f>
        <v>Czech Republic</v>
      </c>
      <c r="C49" s="66">
        <v>1501.38</v>
      </c>
      <c r="D49" s="44"/>
      <c r="F49" s="122"/>
      <c r="G49" s="122"/>
      <c r="H49" s="122"/>
      <c r="I49" s="122" t="s">
        <v>2600</v>
      </c>
      <c r="J49" s="122"/>
      <c r="K49" s="76"/>
      <c r="L49" s="76"/>
      <c r="M49" s="76"/>
      <c r="N49" s="76"/>
      <c r="O49" s="76"/>
      <c r="P49" s="76"/>
      <c r="Q49" s="76"/>
    </row>
    <row r="50" spans="2:17" x14ac:dyDescent="0.25">
      <c r="B50" s="59" t="str">
        <f>VLOOKUP("Scotland",T,lang,FALSE)</f>
        <v>Scotland</v>
      </c>
      <c r="C50" s="66">
        <v>1498.35</v>
      </c>
      <c r="D50" s="44"/>
      <c r="F50" s="122"/>
      <c r="G50" s="122"/>
      <c r="H50" s="122"/>
      <c r="I50" s="122" t="s">
        <v>2126</v>
      </c>
      <c r="J50" s="122"/>
      <c r="K50" s="76"/>
      <c r="L50" s="76"/>
      <c r="M50" s="76"/>
      <c r="N50" s="76"/>
      <c r="O50" s="76"/>
      <c r="P50" s="76"/>
      <c r="Q50" s="76"/>
    </row>
    <row r="51" spans="2:17" x14ac:dyDescent="0.25">
      <c r="B51" s="59" t="str">
        <f>VLOOKUP("Tunisia",T,lang,FALSE)</f>
        <v>Tunisia</v>
      </c>
      <c r="C51" s="66">
        <v>1483.05</v>
      </c>
      <c r="D51" s="44"/>
      <c r="F51" s="122"/>
      <c r="G51" s="122"/>
      <c r="H51" s="122"/>
      <c r="I51" s="122" t="s">
        <v>1858</v>
      </c>
      <c r="J51" s="122"/>
      <c r="K51" s="76"/>
      <c r="L51" s="76"/>
      <c r="M51" s="76"/>
      <c r="N51" s="76"/>
      <c r="O51" s="76"/>
      <c r="P51" s="76"/>
      <c r="Q51" s="76"/>
    </row>
    <row r="52" spans="2:17" x14ac:dyDescent="0.25">
      <c r="B52" s="59" t="str">
        <f>VLOOKUP("DR Congo",T,lang,FALSE)</f>
        <v>DR Congo</v>
      </c>
      <c r="C52" s="66">
        <v>1478.35</v>
      </c>
      <c r="D52" s="44"/>
      <c r="F52" s="122"/>
      <c r="G52" s="122"/>
      <c r="H52" s="122"/>
      <c r="I52" s="122" t="s">
        <v>1077</v>
      </c>
      <c r="J52" s="122"/>
      <c r="K52" s="76"/>
      <c r="L52" s="76"/>
      <c r="M52" s="76"/>
      <c r="N52" s="76"/>
      <c r="O52" s="76"/>
      <c r="P52" s="76"/>
      <c r="Q52" s="76"/>
    </row>
    <row r="53" spans="2:17" x14ac:dyDescent="0.25">
      <c r="B53" s="59" t="str">
        <f>VLOOKUP("Uzbekistan",T,lang,FALSE)</f>
        <v>Uzbekistan</v>
      </c>
      <c r="C53" s="66">
        <v>1465.34</v>
      </c>
      <c r="D53" s="44"/>
      <c r="F53" s="122"/>
      <c r="G53" s="122"/>
      <c r="H53" s="122"/>
      <c r="I53" s="122" t="s">
        <v>1285</v>
      </c>
      <c r="J53" s="122"/>
      <c r="K53" s="76"/>
      <c r="L53" s="76"/>
      <c r="M53" s="76"/>
      <c r="N53" s="76"/>
      <c r="O53" s="76"/>
      <c r="P53" s="76"/>
      <c r="Q53" s="76"/>
    </row>
    <row r="54" spans="2:17" x14ac:dyDescent="0.25">
      <c r="B54" s="59" t="str">
        <f>VLOOKUP("Qatar",T,lang,FALSE)</f>
        <v>Qatar</v>
      </c>
      <c r="C54" s="66">
        <v>1454.96</v>
      </c>
      <c r="D54" s="44"/>
      <c r="F54" s="122"/>
      <c r="G54" s="122"/>
      <c r="H54" s="122"/>
      <c r="I54" s="122" t="s">
        <v>2090</v>
      </c>
      <c r="J54" s="122"/>
      <c r="K54" s="76"/>
      <c r="L54" s="76"/>
      <c r="M54" s="76"/>
      <c r="N54" s="76"/>
      <c r="O54" s="76"/>
      <c r="P54" s="76"/>
      <c r="Q54" s="76"/>
    </row>
    <row r="55" spans="2:17" x14ac:dyDescent="0.25">
      <c r="B55" s="59" t="str">
        <f>VLOOKUP("Iraq",T,lang,FALSE)</f>
        <v>Iraq</v>
      </c>
      <c r="C55" s="66">
        <v>1447.14</v>
      </c>
      <c r="D55" s="44"/>
      <c r="F55" s="122"/>
      <c r="G55" s="122"/>
      <c r="H55" s="122"/>
      <c r="I55" s="122" t="s">
        <v>1058</v>
      </c>
      <c r="J55" s="122"/>
      <c r="K55" s="76"/>
      <c r="L55" s="76"/>
      <c r="M55" s="76"/>
      <c r="N55" s="76"/>
      <c r="O55" s="76"/>
      <c r="P55" s="76"/>
      <c r="Q55" s="76"/>
    </row>
    <row r="56" spans="2:17" x14ac:dyDescent="0.25">
      <c r="B56" s="59" t="str">
        <f>VLOOKUP("South Africa",T,lang,FALSE)</f>
        <v>South Africa</v>
      </c>
      <c r="C56" s="66">
        <v>1429.73</v>
      </c>
      <c r="D56" s="44"/>
      <c r="F56" s="122"/>
      <c r="G56" s="122"/>
      <c r="H56" s="122"/>
      <c r="I56" s="122" t="s">
        <v>1958</v>
      </c>
      <c r="J56" s="122"/>
      <c r="K56" s="76"/>
      <c r="L56" s="76"/>
      <c r="M56" s="76"/>
      <c r="N56" s="76"/>
      <c r="O56" s="76"/>
      <c r="P56" s="76"/>
      <c r="Q56" s="76"/>
    </row>
    <row r="57" spans="2:17" x14ac:dyDescent="0.25">
      <c r="B57" s="59" t="str">
        <f>VLOOKUP("Saudi Arabia",T,lang,FALSE)</f>
        <v>Saudi Arabia</v>
      </c>
      <c r="C57" s="66">
        <v>1421.43</v>
      </c>
      <c r="D57" s="44"/>
      <c r="F57" s="122"/>
      <c r="G57" s="122"/>
      <c r="H57" s="122"/>
      <c r="I57" s="122" t="s">
        <v>1508</v>
      </c>
      <c r="J57" s="122"/>
      <c r="K57" s="76"/>
      <c r="L57" s="76"/>
      <c r="M57" s="76"/>
      <c r="N57" s="76"/>
      <c r="O57" s="76"/>
      <c r="P57" s="76"/>
      <c r="Q57" s="76"/>
    </row>
    <row r="58" spans="2:17" x14ac:dyDescent="0.25">
      <c r="B58" s="59" t="str">
        <f>VLOOKUP("Jordan",T,lang,FALSE)</f>
        <v>Jordan</v>
      </c>
      <c r="C58" s="66">
        <v>1391.45</v>
      </c>
      <c r="D58" s="44"/>
      <c r="F58" s="122"/>
      <c r="G58" s="122"/>
      <c r="H58" s="122"/>
      <c r="I58" s="122" t="s">
        <v>2240</v>
      </c>
      <c r="J58" s="122"/>
      <c r="K58" s="76"/>
      <c r="L58" s="76"/>
      <c r="M58" s="76"/>
      <c r="N58" s="76"/>
      <c r="O58" s="76"/>
      <c r="P58" s="76"/>
      <c r="Q58" s="76"/>
    </row>
    <row r="59" spans="2:17" x14ac:dyDescent="0.25">
      <c r="B59" s="59" t="str">
        <f>VLOOKUP("Bosnia and Herzegovina",T,lang,FALSE)</f>
        <v>Bosnia and Herzegovina</v>
      </c>
      <c r="C59" s="66">
        <v>1385.84</v>
      </c>
      <c r="D59" s="44"/>
      <c r="F59" s="122"/>
      <c r="G59" s="122"/>
      <c r="H59" s="122"/>
      <c r="I59" s="122" t="s">
        <v>1798</v>
      </c>
      <c r="J59" s="122"/>
      <c r="K59" s="76"/>
      <c r="L59" s="76"/>
      <c r="M59" s="76"/>
      <c r="N59" s="76"/>
      <c r="O59" s="76"/>
      <c r="P59" s="76"/>
      <c r="Q59" s="76"/>
    </row>
    <row r="60" spans="2:17" x14ac:dyDescent="0.25">
      <c r="B60" s="59" t="str">
        <f>VLOOKUP("Cape Verde",T,lang,FALSE)</f>
        <v>Cape Verde</v>
      </c>
      <c r="C60" s="66">
        <v>1366.13</v>
      </c>
      <c r="D60" s="44"/>
      <c r="F60" s="122"/>
      <c r="G60" s="122"/>
      <c r="H60" s="122"/>
      <c r="I60" s="122" t="s">
        <v>1479</v>
      </c>
      <c r="J60" s="122"/>
      <c r="K60" s="76"/>
      <c r="L60" s="76"/>
      <c r="M60" s="76"/>
      <c r="N60" s="76"/>
      <c r="O60" s="76"/>
      <c r="P60" s="76"/>
      <c r="Q60" s="76"/>
    </row>
    <row r="61" spans="2:17" x14ac:dyDescent="0.25">
      <c r="B61" s="59" t="str">
        <f>VLOOKUP("Ghana",T,lang,FALSE)</f>
        <v>Ghana</v>
      </c>
      <c r="C61" s="66">
        <v>1346.31</v>
      </c>
      <c r="D61" s="44"/>
      <c r="F61" s="122"/>
      <c r="G61" s="122"/>
      <c r="H61" s="122"/>
      <c r="I61" s="122" t="s">
        <v>2146</v>
      </c>
      <c r="J61" s="122"/>
      <c r="K61" s="76"/>
      <c r="L61" s="76"/>
      <c r="M61" s="76"/>
      <c r="N61" s="76"/>
      <c r="O61" s="76"/>
      <c r="P61" s="76"/>
      <c r="Q61" s="76"/>
    </row>
    <row r="62" spans="2:17" x14ac:dyDescent="0.25">
      <c r="B62" s="59" t="str">
        <f>VLOOKUP("Curaçao",T,lang,FALSE)</f>
        <v>Curaçao</v>
      </c>
      <c r="C62" s="66">
        <v>1294.6500000000001</v>
      </c>
      <c r="D62" s="44"/>
      <c r="F62" s="122"/>
      <c r="G62" s="122"/>
      <c r="H62" s="122"/>
      <c r="I62" s="122" t="s">
        <v>1198</v>
      </c>
      <c r="J62" s="122"/>
      <c r="K62" s="76"/>
      <c r="L62" s="76"/>
      <c r="M62" s="76"/>
      <c r="N62" s="76"/>
      <c r="O62" s="76"/>
      <c r="P62" s="76"/>
      <c r="Q62" s="76"/>
    </row>
    <row r="63" spans="2:17" x14ac:dyDescent="0.25">
      <c r="B63" s="59" t="str">
        <f>VLOOKUP("Haiti",T,lang,FALSE)</f>
        <v>Haiti</v>
      </c>
      <c r="C63" s="66">
        <v>1291.71</v>
      </c>
      <c r="D63" s="44"/>
      <c r="F63" s="122"/>
      <c r="G63" s="122"/>
      <c r="H63" s="122"/>
      <c r="I63" s="122" t="s">
        <v>1900</v>
      </c>
      <c r="J63" s="122"/>
      <c r="K63" s="76"/>
      <c r="L63" s="76"/>
      <c r="M63" s="76"/>
      <c r="N63" s="76"/>
      <c r="O63" s="76"/>
      <c r="P63" s="76"/>
      <c r="Q63" s="76"/>
    </row>
    <row r="64" spans="2:17" x14ac:dyDescent="0.25">
      <c r="B64" s="59" t="str">
        <f>VLOOKUP("New Zealand",T,lang,FALSE)</f>
        <v>New Zealand</v>
      </c>
      <c r="C64" s="67">
        <v>1281.57</v>
      </c>
      <c r="D64" s="44"/>
      <c r="F64" s="122"/>
      <c r="G64" s="122"/>
      <c r="H64" s="122"/>
      <c r="I64" s="122" t="s">
        <v>2549</v>
      </c>
      <c r="J64" s="122"/>
      <c r="K64" s="76"/>
      <c r="L64" s="76"/>
      <c r="M64" s="76"/>
      <c r="N64" s="76"/>
      <c r="O64" s="76"/>
      <c r="P64" s="76"/>
      <c r="Q64" s="76"/>
    </row>
    <row r="65" spans="2:17" x14ac:dyDescent="0.25">
      <c r="B65" s="51"/>
      <c r="C65" s="52"/>
      <c r="D65" s="53"/>
      <c r="F65" s="122" t="s">
        <v>3164</v>
      </c>
      <c r="G65" s="122">
        <f>IF(G4="Type 2",0,1)</f>
        <v>1</v>
      </c>
      <c r="H65" s="122"/>
      <c r="I65" s="122"/>
      <c r="J65" s="122"/>
      <c r="K65" s="76"/>
      <c r="L65" s="76"/>
      <c r="M65" s="76"/>
      <c r="N65" s="76"/>
      <c r="O65" s="76"/>
      <c r="P65" s="76"/>
      <c r="Q65" s="76"/>
    </row>
    <row r="66" spans="2:17" x14ac:dyDescent="0.25"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</row>
    <row r="67" spans="2:17" x14ac:dyDescent="0.25"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</row>
    <row r="68" spans="2:17" x14ac:dyDescent="0.25"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</row>
    <row r="69" spans="2:17" x14ac:dyDescent="0.25"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</row>
    <row r="70" spans="2:17" x14ac:dyDescent="0.25"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</row>
    <row r="71" spans="2:17" x14ac:dyDescent="0.25"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</row>
    <row r="72" spans="2:17" x14ac:dyDescent="0.25"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</row>
  </sheetData>
  <sheetProtection algorithmName="SHA-512" hashValue="kskvAe6zVBzOc7F9qex7mcbnakd5j6ZJBXXsQEVmNo1L3lYh559YlHsl8VkAgYFdowXYjPn+M0CRrW5PS4T8BA==" saltValue="cLLhtMne1kSM6QbKQoaFMw==" spinCount="100000" sheet="1" objects="1" scenarios="1"/>
  <sortState xmlns:xlrd2="http://schemas.microsoft.com/office/spreadsheetml/2017/richdata2" ref="I17:I64">
    <sortCondition ref="I17:I64"/>
  </sortState>
  <dataValidations count="5">
    <dataValidation type="list" allowBlank="1" showInputMessage="1" showErrorMessage="1" promptTitle="Select Language" prompt="Use drop-down List" sqref="C4" xr:uid="{00000000-0002-0000-0100-000000000000}">
      <formula1>lang_list</formula1>
    </dataValidation>
    <dataValidation type="list" allowBlank="1" showInputMessage="1" showErrorMessage="1" promptTitle="Select Summer Time" prompt="Use drop-down List" sqref="C6" xr:uid="{00000000-0002-0000-0100-000001000000}">
      <formula1>"Yes,No"</formula1>
    </dataValidation>
    <dataValidation type="list" allowBlank="1" showInputMessage="1" showErrorMessage="1" promptTitle="Select Minutes" prompt="Use drop-down List" sqref="C10" xr:uid="{00000000-0002-0000-0100-000003000000}">
      <formula1>$F$44:$F$47</formula1>
    </dataValidation>
    <dataValidation type="list" allowBlank="1" showInputMessage="1" showErrorMessage="1" promptTitle="Select Your Favorite Team" prompt="Use drop-down List" sqref="C12" xr:uid="{00000000-0002-0000-0100-000004000000}">
      <formula1>teams</formula1>
    </dataValidation>
    <dataValidation type="list" allowBlank="1" showInputMessage="1" showErrorMessage="1" promptTitle="Select GTM-time" prompt="Use drop-down List" sqref="C8" xr:uid="{00000000-0002-0000-0100-000002000000}">
      <formula1>$F$18:$F$42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F111"/>
  <sheetViews>
    <sheetView showGridLines="0" tabSelected="1" zoomScaleNormal="100" workbookViewId="0">
      <selection activeCell="F7" sqref="F7"/>
    </sheetView>
  </sheetViews>
  <sheetFormatPr defaultColWidth="9.140625" defaultRowHeight="15" x14ac:dyDescent="0.25"/>
  <cols>
    <col min="1" max="1" width="4.85546875" style="3" customWidth="1"/>
    <col min="2" max="2" width="6.140625" style="3" customWidth="1"/>
    <col min="3" max="3" width="11.7109375" style="3" bestFit="1" customWidth="1"/>
    <col min="4" max="4" width="9" style="4" customWidth="1"/>
    <col min="5" max="5" width="22.5703125" style="5" customWidth="1"/>
    <col min="6" max="7" width="4.28515625" style="6" customWidth="1"/>
    <col min="8" max="8" width="22.5703125" style="7" customWidth="1"/>
    <col min="9" max="9" width="3.42578125" style="2" customWidth="1"/>
    <col min="10" max="10" width="19.42578125" style="8" customWidth="1"/>
    <col min="11" max="14" width="5.42578125" style="9" customWidth="1"/>
    <col min="15" max="15" width="7.7109375" style="9" customWidth="1"/>
    <col min="16" max="16" width="6.7109375" style="9" customWidth="1"/>
    <col min="17" max="17" width="3.42578125" style="68" customWidth="1"/>
    <col min="18" max="18" width="15.42578125" style="125" hidden="1" customWidth="1"/>
    <col min="19" max="20" width="16" style="127" hidden="1" customWidth="1"/>
    <col min="21" max="21" width="5" style="126" hidden="1" customWidth="1"/>
    <col min="22" max="25" width="6.140625" style="125" hidden="1" customWidth="1"/>
    <col min="26" max="26" width="4.28515625" style="126" hidden="1" customWidth="1"/>
    <col min="27" max="27" width="5.42578125" style="125" hidden="1" customWidth="1"/>
    <col min="28" max="28" width="13.42578125" style="126" hidden="1" customWidth="1"/>
    <col min="29" max="33" width="5.42578125" style="125" hidden="1" customWidth="1"/>
    <col min="34" max="36" width="6" style="125" hidden="1" customWidth="1"/>
    <col min="37" max="37" width="5.42578125" style="125" hidden="1" customWidth="1"/>
    <col min="38" max="38" width="6" style="125" hidden="1" customWidth="1"/>
    <col min="39" max="39" width="7.140625" style="126" hidden="1" customWidth="1"/>
    <col min="40" max="40" width="10" style="126" hidden="1" customWidth="1"/>
    <col min="41" max="41" width="15.28515625" style="126" hidden="1" customWidth="1"/>
    <col min="42" max="46" width="4.7109375" style="125" hidden="1" customWidth="1"/>
    <col min="47" max="47" width="9.140625" style="126" hidden="1" customWidth="1"/>
    <col min="48" max="49" width="9.140625" style="125" hidden="1" customWidth="1"/>
    <col min="50" max="50" width="9.140625" style="115" hidden="1" customWidth="1"/>
    <col min="51" max="51" width="3.28515625" style="2" customWidth="1"/>
    <col min="52" max="52" width="19.7109375" style="2" customWidth="1"/>
    <col min="53" max="55" width="3" style="2" customWidth="1"/>
    <col min="56" max="57" width="2" style="115" customWidth="1"/>
    <col min="58" max="58" width="3.28515625" style="2" customWidth="1"/>
    <col min="59" max="59" width="19.7109375" style="2" customWidth="1"/>
    <col min="60" max="62" width="3" style="2" customWidth="1"/>
    <col min="63" max="64" width="2" style="115" customWidth="1"/>
    <col min="65" max="65" width="4" style="2" customWidth="1"/>
    <col min="66" max="66" width="19.7109375" style="2" customWidth="1"/>
    <col min="67" max="69" width="3" style="2" customWidth="1"/>
    <col min="70" max="71" width="2" style="115" customWidth="1"/>
    <col min="72" max="72" width="3.85546875" style="2" customWidth="1"/>
    <col min="73" max="73" width="19.7109375" style="2" customWidth="1"/>
    <col min="74" max="76" width="3" style="2" customWidth="1"/>
    <col min="77" max="78" width="2" style="115" customWidth="1"/>
    <col min="79" max="79" width="3.7109375" style="2" customWidth="1"/>
    <col min="80" max="80" width="19.7109375" style="2" customWidth="1"/>
    <col min="81" max="83" width="3" style="2" customWidth="1"/>
    <col min="84" max="84" width="2" style="115" customWidth="1"/>
    <col min="85" max="16384" width="9.140625" style="2"/>
  </cols>
  <sheetData>
    <row r="1" spans="1:83" ht="46.5" x14ac:dyDescent="0.25">
      <c r="A1" s="138" t="str" cm="1">
        <f t="array" ref="A1">INDEX(T,2,lang)</f>
        <v>2026 World Cup Final Tournament Schedule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S1" s="125"/>
      <c r="T1" s="125"/>
      <c r="U1" s="125"/>
      <c r="Z1" s="125"/>
      <c r="AB1" s="125"/>
      <c r="AD1" s="126"/>
      <c r="AE1" s="126"/>
      <c r="AF1" s="126"/>
      <c r="AL1" s="126"/>
      <c r="AP1" s="126"/>
      <c r="AQ1" s="126"/>
      <c r="AR1" s="126"/>
      <c r="AS1" s="126"/>
      <c r="AT1" s="126"/>
    </row>
    <row r="2" spans="1:83" ht="3" customHeight="1" x14ac:dyDescent="0.25">
      <c r="S2" s="125"/>
      <c r="T2" s="125"/>
      <c r="U2" s="125"/>
      <c r="Z2" s="125"/>
      <c r="AB2" s="125"/>
      <c r="AD2" s="126"/>
      <c r="AE2" s="126"/>
      <c r="AF2" s="126"/>
      <c r="AL2" s="126"/>
      <c r="AP2" s="126"/>
      <c r="AQ2" s="126"/>
      <c r="AR2" s="126"/>
      <c r="AS2" s="126"/>
      <c r="AT2" s="126"/>
    </row>
    <row r="3" spans="1:83" ht="12.75" customHeight="1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39" t="str">
        <f>"Language: " &amp; Settings!C4</f>
        <v>Language: English</v>
      </c>
      <c r="P3" s="139"/>
      <c r="S3" s="125"/>
      <c r="T3" s="125"/>
      <c r="U3" s="125"/>
      <c r="Z3" s="125"/>
      <c r="AB3" s="125"/>
      <c r="AD3" s="126"/>
      <c r="AE3" s="126"/>
      <c r="AF3" s="126"/>
      <c r="AL3" s="126"/>
      <c r="AP3" s="126"/>
      <c r="AQ3" s="126"/>
      <c r="AR3" s="126"/>
      <c r="AS3" s="126"/>
      <c r="AT3" s="126"/>
    </row>
    <row r="4" spans="1:83" ht="3" customHeight="1" x14ac:dyDescent="0.25"/>
    <row r="5" spans="1:83" x14ac:dyDescent="0.25">
      <c r="A5" s="140" t="str" cm="1">
        <f t="array" ref="A5">INDEX(T,3,lang)</f>
        <v>Group Stage</v>
      </c>
      <c r="B5" s="141"/>
      <c r="C5" s="141"/>
      <c r="D5" s="141"/>
      <c r="E5" s="141"/>
      <c r="F5" s="141"/>
      <c r="G5" s="141"/>
      <c r="H5" s="142"/>
      <c r="J5" s="146" t="s">
        <v>3694</v>
      </c>
      <c r="K5" s="147"/>
      <c r="L5" s="147"/>
      <c r="M5" s="147"/>
      <c r="N5" s="147"/>
      <c r="O5" s="147"/>
      <c r="P5" s="148"/>
    </row>
    <row r="6" spans="1:83" ht="15" customHeight="1" x14ac:dyDescent="0.25">
      <c r="A6" s="143"/>
      <c r="B6" s="144"/>
      <c r="C6" s="144"/>
      <c r="D6" s="144"/>
      <c r="E6" s="144"/>
      <c r="F6" s="144"/>
      <c r="G6" s="144"/>
      <c r="H6" s="145"/>
      <c r="J6" s="149"/>
      <c r="K6" s="150"/>
      <c r="L6" s="150"/>
      <c r="M6" s="150"/>
      <c r="N6" s="150"/>
      <c r="O6" s="150"/>
      <c r="P6" s="151"/>
      <c r="R6" s="125" t="s">
        <v>3165</v>
      </c>
      <c r="V6" s="125" t="s">
        <v>3166</v>
      </c>
      <c r="W6" s="125" t="s">
        <v>3167</v>
      </c>
      <c r="AA6" s="125" t="s">
        <v>3168</v>
      </c>
      <c r="AB6" s="125" t="s">
        <v>1024</v>
      </c>
      <c r="AC6" s="125" t="s">
        <v>370</v>
      </c>
      <c r="AD6" s="125" t="s">
        <v>406</v>
      </c>
      <c r="AE6" s="125" t="s">
        <v>342</v>
      </c>
      <c r="AF6" s="125" t="s">
        <v>3166</v>
      </c>
      <c r="AG6" s="125" t="s">
        <v>3167</v>
      </c>
      <c r="AI6" s="125" t="s">
        <v>3169</v>
      </c>
      <c r="AJ6" s="125" t="s">
        <v>3170</v>
      </c>
      <c r="AK6" s="125" t="s">
        <v>3171</v>
      </c>
      <c r="AL6" s="125" t="s">
        <v>386</v>
      </c>
      <c r="AM6" s="125" t="s">
        <v>3172</v>
      </c>
      <c r="AN6" s="125" t="s">
        <v>3173</v>
      </c>
      <c r="AP6" s="125" t="s">
        <v>370</v>
      </c>
      <c r="AQ6" s="125" t="s">
        <v>406</v>
      </c>
      <c r="AR6" s="125" t="s">
        <v>3166</v>
      </c>
      <c r="AS6" s="125" t="s">
        <v>3167</v>
      </c>
      <c r="AT6" s="125" t="s">
        <v>3169</v>
      </c>
      <c r="AU6" s="125" t="s">
        <v>3170</v>
      </c>
      <c r="AV6" s="125" t="s">
        <v>3173</v>
      </c>
      <c r="AW6" s="128" t="s">
        <v>3174</v>
      </c>
      <c r="AY6" s="132" t="s">
        <v>3175</v>
      </c>
      <c r="AZ6" s="133"/>
      <c r="BA6" s="133"/>
      <c r="BB6" s="133"/>
      <c r="BC6" s="134"/>
      <c r="BF6" s="132" t="str" cm="1">
        <f t="array" ref="BF6">INDEX(T,4,lang)</f>
        <v>Round of 16</v>
      </c>
      <c r="BG6" s="133"/>
      <c r="BH6" s="133"/>
      <c r="BI6" s="133"/>
      <c r="BJ6" s="134"/>
      <c r="BM6" s="132" t="str" cm="1">
        <f t="array" ref="BM6">INDEX(T,5,lang)</f>
        <v>Quarterfinals</v>
      </c>
      <c r="BN6" s="133"/>
      <c r="BO6" s="133"/>
      <c r="BP6" s="133"/>
      <c r="BQ6" s="134"/>
      <c r="BT6" s="132" t="str" cm="1">
        <f t="array" ref="BT6">INDEX(T,6,lang)</f>
        <v>Semi-Finals</v>
      </c>
      <c r="BU6" s="133"/>
      <c r="BV6" s="133"/>
      <c r="BW6" s="133"/>
      <c r="BX6" s="134"/>
    </row>
    <row r="7" spans="1:83" ht="15" customHeight="1" x14ac:dyDescent="0.25">
      <c r="A7" s="11">
        <v>1</v>
      </c>
      <c r="B7" s="12" t="str" cm="1">
        <f t="array" ref="B7">INDEX(T,18+INT(MOD(R7-1,7)),lang)</f>
        <v>Thu</v>
      </c>
      <c r="C7" s="13" t="str" cm="1">
        <f t="array" ref="C7">INDEX(T,24+MONTH(R7),lang) &amp; " " &amp; DAY(R7) &amp; ", " &amp; YEAR(R7)</f>
        <v>Jun 11, 2026</v>
      </c>
      <c r="D7" s="123">
        <f t="shared" ref="D7" si="0">TIME(HOUR(R7),MINUTE(R7),0)</f>
        <v>0.58333333333333337</v>
      </c>
      <c r="E7" s="77" t="str">
        <f>AB8</f>
        <v>Mexico</v>
      </c>
      <c r="F7" s="14"/>
      <c r="G7" s="15"/>
      <c r="H7" s="79" t="str">
        <f>AB9</f>
        <v>South Africa</v>
      </c>
      <c r="R7" s="125">
        <f>DATE(2026,6,11)+TIME(8,0,0)+gmt_delta</f>
        <v>46184.583333333336</v>
      </c>
      <c r="S7" s="127" t="str">
        <f t="shared" ref="S7:S46" si="1">IF(OR(F7="",G7=""),"",IF(F7&gt;G7,E7&amp;"_win",IF(F7&lt;G7,E7&amp;"_lose",E7&amp;"_draw")))</f>
        <v/>
      </c>
      <c r="T7" s="127" t="str">
        <f t="shared" ref="T7:T46" si="2">IF(S7="","",IF(F7&lt;G7,H7&amp;"_win",IF(F7&gt;G7,H7&amp;"_lose",H7&amp;"_draw")))</f>
        <v/>
      </c>
      <c r="U7" s="126">
        <f>IF(S7="",0,IF(VLOOKUP(E7,$AB$8:$AK$77,10,FALSE)=VLOOKUP(H7,$AB$8:$AK$77,10,FALSE),1,0))</f>
        <v>0</v>
      </c>
      <c r="V7" s="125">
        <f t="shared" ref="V7:V46" si="3">U7*F7</f>
        <v>0</v>
      </c>
      <c r="W7" s="125">
        <f t="shared" ref="W7:W46" si="4">U7*G7</f>
        <v>0</v>
      </c>
      <c r="X7" s="125">
        <f t="shared" ref="X7:X46" si="5">IF(OR(E7=my_team,H7=my_team),1,0)</f>
        <v>0</v>
      </c>
      <c r="Y7" s="125" t="str">
        <f t="shared" ref="Y7:Y46" si="6">IF(OR(F7="",G7=""),"",IF(F7&gt;G7,1,IF(F7&lt;G7,-1,0)))</f>
        <v/>
      </c>
      <c r="AU7" s="125"/>
      <c r="AY7" s="135"/>
      <c r="AZ7" s="136"/>
      <c r="BA7" s="136"/>
      <c r="BB7" s="136"/>
      <c r="BC7" s="137"/>
      <c r="BF7" s="135"/>
      <c r="BG7" s="136"/>
      <c r="BH7" s="136"/>
      <c r="BI7" s="136"/>
      <c r="BJ7" s="137"/>
      <c r="BM7" s="135"/>
      <c r="BN7" s="136"/>
      <c r="BO7" s="136"/>
      <c r="BP7" s="136"/>
      <c r="BQ7" s="137"/>
      <c r="BT7" s="135"/>
      <c r="BU7" s="136"/>
      <c r="BV7" s="136"/>
      <c r="BW7" s="136"/>
      <c r="BX7" s="137"/>
    </row>
    <row r="8" spans="1:83" x14ac:dyDescent="0.25">
      <c r="A8" s="16">
        <v>2</v>
      </c>
      <c r="B8" s="17" t="str" cm="1">
        <f t="array" ref="B8">INDEX(T,18+INT(MOD(R8-1,7)),lang)</f>
        <v>Thu</v>
      </c>
      <c r="C8" s="18" t="str" cm="1">
        <f t="array" ref="C8">INDEX(T,24+MONTH(R8),lang) &amp; " " &amp; DAY(R8) &amp; ", " &amp; YEAR(R8)</f>
        <v>Jun 11, 2026</v>
      </c>
      <c r="D8" s="124">
        <f t="shared" ref="D8:D71" si="7">TIME(HOUR(R8),MINUTE(R8),0)</f>
        <v>0.875</v>
      </c>
      <c r="E8" s="78" t="str">
        <f>AB10</f>
        <v>Korea Republic</v>
      </c>
      <c r="F8" s="19"/>
      <c r="G8" s="20"/>
      <c r="H8" s="80" t="str">
        <f>AB11</f>
        <v>Czech Republic</v>
      </c>
      <c r="J8" s="38" t="str" cm="1">
        <f t="array" ref="J8">INDEX(T,9,lang) &amp; " " &amp; "A"</f>
        <v>Group A</v>
      </c>
      <c r="K8" s="94" t="str" cm="1">
        <f t="array" ref="K8">INDEX(T,10,lang)</f>
        <v>PL</v>
      </c>
      <c r="L8" s="94" t="str" cm="1">
        <f t="array" ref="L8">INDEX(T,11,lang)</f>
        <v>W</v>
      </c>
      <c r="M8" s="94" t="str" cm="1">
        <f t="array" ref="M8">INDEX(T,12,lang)</f>
        <v>DRAW</v>
      </c>
      <c r="N8" s="94" t="str" cm="1">
        <f t="array" ref="N8">INDEX(T,13,lang)</f>
        <v>L</v>
      </c>
      <c r="O8" s="94" t="str" cm="1">
        <f t="array" ref="O8">INDEX(T,14,lang)</f>
        <v>GF - GA</v>
      </c>
      <c r="P8" s="95" t="str" cm="1">
        <f t="array" ref="P8">INDEX(T,15,lang)</f>
        <v>PNT</v>
      </c>
      <c r="R8" s="125">
        <f>DATE(2026,6,11)+TIME(15,0,0)+gmt_delta</f>
        <v>46184.875</v>
      </c>
      <c r="S8" s="127" t="str">
        <f t="shared" si="1"/>
        <v/>
      </c>
      <c r="T8" s="127" t="str">
        <f t="shared" si="2"/>
        <v/>
      </c>
      <c r="U8" s="126">
        <f t="shared" ref="U8:U71" si="8">IF(S8="",0,IF(VLOOKUP(E8,$AB$8:$AK$77,10,FALSE)=VLOOKUP(H8,$AB$8:$AK$77,10,FALSE),1,0))</f>
        <v>0</v>
      </c>
      <c r="V8" s="125">
        <f t="shared" si="3"/>
        <v>0</v>
      </c>
      <c r="W8" s="125">
        <f t="shared" si="4"/>
        <v>0</v>
      </c>
      <c r="X8" s="125">
        <f t="shared" si="5"/>
        <v>0</v>
      </c>
      <c r="Y8" s="125" t="str">
        <f t="shared" si="6"/>
        <v/>
      </c>
      <c r="AA8" s="125">
        <f>COUNTIF(AN8:AN11,CONCATENATE("&gt;=",AN8))</f>
        <v>1</v>
      </c>
      <c r="AB8" s="126" t="str">
        <f>VLOOKUP("Mexico",T,lang,FALSE)</f>
        <v>Mexico</v>
      </c>
      <c r="AC8" s="125">
        <f>COUNTIF($S$7:$T$78,"=" &amp; AB8 &amp; "_win")</f>
        <v>0</v>
      </c>
      <c r="AD8" s="125">
        <f>COUNTIF($S$7:$T$78,"=" &amp; AB8 &amp; "_draw")</f>
        <v>0</v>
      </c>
      <c r="AE8" s="125">
        <f>COUNTIF($S$7:$T$78,"=" &amp; AB8 &amp; "_lose")</f>
        <v>0</v>
      </c>
      <c r="AF8" s="125">
        <f>SUMIF($E$7:$E$78,$AB8,$F$7:$F$78) + SUMIF($H$7:$H$78,$AB8,$G$7:$G$78)</f>
        <v>0</v>
      </c>
      <c r="AG8" s="125">
        <f>SUMIF($E$7:$E$78,$AB8,$G$7:$G$78) + SUMIF($H$7:$H$78,$AB8,$F$7:$F$78)</f>
        <v>0</v>
      </c>
      <c r="AI8" s="125">
        <f>AF8-AG8</f>
        <v>0</v>
      </c>
      <c r="AJ8" s="125">
        <f>AI8-AI12</f>
        <v>0</v>
      </c>
      <c r="AK8" s="125">
        <f>AC8*3+AD8</f>
        <v>0</v>
      </c>
      <c r="AL8" s="125">
        <f>AK8/AK12*10000+AW8*1000+AJ8/AJ12*100+AF8/AF12*10+IF(AM8=0,ROW(),AM8)/2000000</f>
        <v>8.4051500000000001E-4</v>
      </c>
      <c r="AM8" s="125">
        <f>VLOOKUP(AB8,db_fifarank,2,FALSE)</f>
        <v>1681.03</v>
      </c>
      <c r="AN8" s="126">
        <f>AL8/AL12</f>
        <v>8.3980912783092126E-4</v>
      </c>
      <c r="AO8" s="126" t="str">
        <f>IF(SUM(AC8:AE11)=12,J9,"1A")</f>
        <v>1A</v>
      </c>
      <c r="AP8" s="125" cm="1">
        <f t="array" ref="AP8">SUMPRODUCT(($S$7:$S$78=AB8&amp;"_win")*($U$7:$U$78))+SUMPRODUCT(($T$7:$T$78=AB8&amp;"_win")*($U$7:$U$78))</f>
        <v>0</v>
      </c>
      <c r="AQ8" s="125" cm="1">
        <f t="array" ref="AQ8">SUMPRODUCT(($S$7:$S$78=AB8&amp;"_draw")*($U$7:$U$78))+SUMPRODUCT(($T$7:$T$78=AB8&amp;"_draw")*($U$7:$U$78))</f>
        <v>0</v>
      </c>
      <c r="AR8" s="125" cm="1">
        <f t="array" ref="AR8">SUMPRODUCT(($E$7:$E$78=AB8)*($U$7:$U$78)*($F$7:$F$78))+SUMPRODUCT(($H$7:$H$78=AB8)*($U$7:$U$78)*($G$7:$G$78))</f>
        <v>0</v>
      </c>
      <c r="AS8" s="125" cm="1">
        <f t="array" ref="AS8">SUMPRODUCT(($E$7:$E$78=AB8)*($U$7:$U$78)*($G$7:$G$78))+SUMPRODUCT(($H$7:$H$78=AB8)*($U$7:$U$78)*($F$7:$F$78))</f>
        <v>0</v>
      </c>
      <c r="AT8" s="125">
        <f>AR8-AS8</f>
        <v>0</v>
      </c>
      <c r="AU8" s="125">
        <f>AT8-MIN(AT8:AT11)</f>
        <v>0</v>
      </c>
      <c r="AV8" s="125">
        <f>AP8/AP12*1000+AQ8/AQ12*100+AU8/AU12*10+AR8/AR12</f>
        <v>0</v>
      </c>
      <c r="AW8" s="125">
        <f>AV8/AV12</f>
        <v>0</v>
      </c>
      <c r="BG8" s="21"/>
      <c r="BH8" s="21"/>
      <c r="BI8" s="21"/>
      <c r="BN8" s="21"/>
      <c r="BO8" s="21"/>
      <c r="BP8" s="21"/>
      <c r="BQ8" s="21"/>
      <c r="BR8" s="116"/>
      <c r="BS8" s="116"/>
      <c r="BT8" s="21"/>
      <c r="BU8" s="21"/>
      <c r="BV8" s="21"/>
      <c r="BW8" s="21"/>
      <c r="BX8" s="21"/>
      <c r="BZ8" s="116"/>
      <c r="CA8" s="21"/>
      <c r="CB8" s="21"/>
      <c r="CC8" s="21"/>
      <c r="CD8" s="21"/>
      <c r="CE8" s="21"/>
    </row>
    <row r="9" spans="1:83" x14ac:dyDescent="0.25">
      <c r="A9" s="16">
        <v>3</v>
      </c>
      <c r="B9" s="17" t="str" cm="1">
        <f t="array" ref="B9">INDEX(T,18+INT(MOD(R9-1,7)),lang)</f>
        <v>Fri</v>
      </c>
      <c r="C9" s="18" t="str" cm="1">
        <f t="array" ref="C9">INDEX(T,24+MONTH(R9),lang) &amp; " " &amp; DAY(R9) &amp; ", " &amp; YEAR(R9)</f>
        <v>Jun 12, 2026</v>
      </c>
      <c r="D9" s="124">
        <f t="shared" si="7"/>
        <v>0.58333333333333337</v>
      </c>
      <c r="E9" s="78" t="str">
        <f>AB14</f>
        <v>Canada</v>
      </c>
      <c r="F9" s="19"/>
      <c r="G9" s="20"/>
      <c r="H9" s="80" t="str">
        <f>AB15</f>
        <v>Bosnia and Herzegovina</v>
      </c>
      <c r="J9" s="30" t="str">
        <f>VLOOKUP(1,AA8:AK11,2,FALSE)</f>
        <v>Mexico</v>
      </c>
      <c r="K9" s="31">
        <f>L9+M9+N9</f>
        <v>0</v>
      </c>
      <c r="L9" s="31">
        <f>VLOOKUP(1,AA8:AK11,3,FALSE)</f>
        <v>0</v>
      </c>
      <c r="M9" s="31">
        <f>VLOOKUP(1,AA8:AK11,4,FALSE)</f>
        <v>0</v>
      </c>
      <c r="N9" s="31">
        <f>VLOOKUP(1,AA8:AK11,5,FALSE)</f>
        <v>0</v>
      </c>
      <c r="O9" s="31" t="str">
        <f>VLOOKUP(1,AA8:AK11,6,FALSE) &amp; " - " &amp; VLOOKUP(1,AA8:AK11,7,FALSE)</f>
        <v>0 - 0</v>
      </c>
      <c r="P9" s="32">
        <f>L9*3+M9</f>
        <v>0</v>
      </c>
      <c r="R9" s="125">
        <f>DATE(2026,6,12)+TIME(8,0,0)+gmt_delta</f>
        <v>46185.583333333336</v>
      </c>
      <c r="S9" s="127" t="str">
        <f t="shared" si="1"/>
        <v/>
      </c>
      <c r="T9" s="127" t="str">
        <f t="shared" si="2"/>
        <v/>
      </c>
      <c r="U9" s="126">
        <f t="shared" si="8"/>
        <v>0</v>
      </c>
      <c r="V9" s="125">
        <f t="shared" si="3"/>
        <v>0</v>
      </c>
      <c r="W9" s="125">
        <f t="shared" si="4"/>
        <v>0</v>
      </c>
      <c r="X9" s="125">
        <f t="shared" si="5"/>
        <v>0</v>
      </c>
      <c r="Y9" s="125" t="str">
        <f t="shared" si="6"/>
        <v/>
      </c>
      <c r="AA9" s="125">
        <f>COUNTIF(AN8:AN11,CONCATENATE("&gt;=",AN9))</f>
        <v>4</v>
      </c>
      <c r="AB9" s="126" t="str">
        <f>VLOOKUP("South Africa",T,lang,FALSE)</f>
        <v>South Africa</v>
      </c>
      <c r="AC9" s="125">
        <f>COUNTIF($S$7:$T$78,"=" &amp; AB9 &amp; "_win")</f>
        <v>0</v>
      </c>
      <c r="AD9" s="125">
        <f>COUNTIF($S$7:$T$78,"=" &amp; AB9 &amp; "_draw")</f>
        <v>0</v>
      </c>
      <c r="AE9" s="125">
        <f>COUNTIF($S$7:$T$78,"=" &amp; AB9 &amp; "_lose")</f>
        <v>0</v>
      </c>
      <c r="AF9" s="125">
        <f>SUMIF($E$7:$E$78,$AB9,$F$7:$F$78) + SUMIF($H$7:$H$78,$AB9,$G$7:$G$78)</f>
        <v>0</v>
      </c>
      <c r="AG9" s="125">
        <f>SUMIF($E$7:$E$78,$AB9,$G$7:$G$78) + SUMIF($H$7:$H$78,$AB9,$F$7:$F$78)</f>
        <v>0</v>
      </c>
      <c r="AI9" s="125">
        <f>AF9-AG9</f>
        <v>0</v>
      </c>
      <c r="AJ9" s="125">
        <f>AI9-AI12</f>
        <v>0</v>
      </c>
      <c r="AK9" s="125">
        <f>AC9*3+AD9</f>
        <v>0</v>
      </c>
      <c r="AL9" s="125">
        <f>AK9/AK12*10000+AW9*1000+AJ9/AJ12*100+AF9/AF12*10+IF(AM9=0,ROW(),AM9)/2000000</f>
        <v>7.1486499999999997E-4</v>
      </c>
      <c r="AM9" s="125">
        <f>VLOOKUP(AB9,db_fifarank,2,FALSE)</f>
        <v>1429.73</v>
      </c>
      <c r="AN9" s="126">
        <f>AL9/AL12</f>
        <v>7.1426464984783314E-4</v>
      </c>
      <c r="AO9" s="126" t="str">
        <f>IF(SUM(AC8:AE11)=12,J10,"2A")</f>
        <v>2A</v>
      </c>
      <c r="AP9" s="125" cm="1">
        <f t="array" ref="AP9">SUMPRODUCT(($S$7:$S$78=AB9&amp;"_win")*($U$7:$U$78))+SUMPRODUCT(($T$7:$T$78=AB9&amp;"_win")*($U$7:$U$78))</f>
        <v>0</v>
      </c>
      <c r="AQ9" s="125" cm="1">
        <f t="array" ref="AQ9">SUMPRODUCT(($S$7:$S$78=AB9&amp;"_draw")*($U$7:$U$78))+SUMPRODUCT(($T$7:$T$78=AB9&amp;"_draw")*($U$7:$U$78))</f>
        <v>0</v>
      </c>
      <c r="AR9" s="125" cm="1">
        <f t="array" ref="AR9">SUMPRODUCT(($E$7:$E$78=AB9)*($U$7:$U$78)*($F$7:$F$78))+SUMPRODUCT(($H$7:$H$78=AB9)*($U$7:$U$78)*($G$7:$G$78))</f>
        <v>0</v>
      </c>
      <c r="AS9" s="125" cm="1">
        <f t="array" ref="AS9">SUMPRODUCT(($E$7:$E$78=AB9)*($U$7:$U$78)*($G$7:$G$78))+SUMPRODUCT(($H$7:$H$78=AB9)*($U$7:$U$78)*($F$7:$F$78))</f>
        <v>0</v>
      </c>
      <c r="AT9" s="125">
        <f>AR9-AS9</f>
        <v>0</v>
      </c>
      <c r="AU9" s="125">
        <f>AT9-MIN(AT8:AT11)</f>
        <v>0</v>
      </c>
      <c r="AV9" s="125">
        <f>AP9/AP12*1000+AQ9/AQ12*100+AU9/AU12*10+AR9/AR12</f>
        <v>0</v>
      </c>
      <c r="AW9" s="125">
        <f>AV9/AV12</f>
        <v>0</v>
      </c>
      <c r="AY9" s="21" t="str" cm="1">
        <f t="array" ref="AY9">INDEX(T,24+MONTH(BD9),lang) &amp; " " &amp; DAY(BD9) &amp; ", " &amp; YEAR(BD9) &amp; "   " &amp; (IF(HOUR(BD9)&lt;10,0,"")&amp;HOUR(BD9)) &amp; ":" &amp;  (IF(MINUTE(BD9)&lt;10,0,"")&amp;MINUTE(BD9))</f>
        <v>Jun 29, 2026   15:30</v>
      </c>
      <c r="AZ9" s="21"/>
      <c r="BA9" s="21"/>
      <c r="BB9" s="21"/>
      <c r="BC9" s="113"/>
      <c r="BD9" s="116">
        <f>DATE(2026,6,29)+TIME(9,30,0)+gmt_delta</f>
        <v>46202.645833333336</v>
      </c>
      <c r="BE9" s="116"/>
      <c r="BF9" s="21"/>
      <c r="BG9" s="21"/>
      <c r="BH9" s="21"/>
      <c r="BI9" s="21"/>
      <c r="BJ9" s="21"/>
      <c r="BK9" s="116"/>
      <c r="BL9" s="116"/>
      <c r="BM9" s="21"/>
      <c r="BN9" s="21"/>
      <c r="BO9" s="21"/>
      <c r="BP9" s="21"/>
      <c r="BQ9" s="21"/>
      <c r="BR9" s="116"/>
      <c r="BS9" s="116"/>
      <c r="BT9" s="21"/>
      <c r="BU9" s="21"/>
      <c r="BV9" s="21"/>
      <c r="BW9" s="21"/>
      <c r="BX9" s="21"/>
      <c r="BZ9" s="116"/>
      <c r="CA9" s="21"/>
      <c r="CB9" s="21"/>
      <c r="CC9" s="21"/>
      <c r="CD9" s="21"/>
      <c r="CE9" s="21"/>
    </row>
    <row r="10" spans="1:83" x14ac:dyDescent="0.25">
      <c r="A10" s="16">
        <v>4</v>
      </c>
      <c r="B10" s="17" t="str" cm="1">
        <f t="array" ref="B10">INDEX(T,18+INT(MOD(R10-1,7)),lang)</f>
        <v>Fri</v>
      </c>
      <c r="C10" s="18" t="str" cm="1">
        <f t="array" ref="C10">INDEX(T,24+MONTH(R10),lang) &amp; " " &amp; DAY(R10) &amp; ", " &amp; YEAR(R10)</f>
        <v>Jun 12, 2026</v>
      </c>
      <c r="D10" s="124">
        <f t="shared" si="7"/>
        <v>0.83333333333333337</v>
      </c>
      <c r="E10" s="78" t="str">
        <f>AB26</f>
        <v>United States</v>
      </c>
      <c r="F10" s="19"/>
      <c r="G10" s="20"/>
      <c r="H10" s="80" t="str">
        <f>AB27</f>
        <v>Paraguay</v>
      </c>
      <c r="J10" s="33" t="str">
        <f>VLOOKUP(2,AA8:AK11,2,FALSE)</f>
        <v>Korea Republic</v>
      </c>
      <c r="K10" s="23">
        <f>L10+M10+N10</f>
        <v>0</v>
      </c>
      <c r="L10" s="23">
        <f>VLOOKUP(2,AA8:AK11,3,FALSE)</f>
        <v>0</v>
      </c>
      <c r="M10" s="23">
        <f>VLOOKUP(2,AA8:AK11,4,FALSE)</f>
        <v>0</v>
      </c>
      <c r="N10" s="23">
        <f>VLOOKUP(2,AA8:AK11,5,FALSE)</f>
        <v>0</v>
      </c>
      <c r="O10" s="23" t="str">
        <f>VLOOKUP(2,AA8:AK11,6,FALSE) &amp; " - " &amp; VLOOKUP(2,AA8:AK11,7,FALSE)</f>
        <v>0 - 0</v>
      </c>
      <c r="P10" s="34">
        <f>L10*3+M10</f>
        <v>0</v>
      </c>
      <c r="R10" s="125">
        <f>DATE(2026,6,12)+TIME(14,0,0)+gmt_delta</f>
        <v>46185.833333333336</v>
      </c>
      <c r="S10" s="127" t="str">
        <f t="shared" si="1"/>
        <v/>
      </c>
      <c r="T10" s="127" t="str">
        <f t="shared" si="2"/>
        <v/>
      </c>
      <c r="U10" s="126">
        <f t="shared" si="8"/>
        <v>0</v>
      </c>
      <c r="V10" s="125">
        <f t="shared" si="3"/>
        <v>0</v>
      </c>
      <c r="W10" s="125">
        <f t="shared" si="4"/>
        <v>0</v>
      </c>
      <c r="X10" s="125">
        <f t="shared" si="5"/>
        <v>0</v>
      </c>
      <c r="Y10" s="125" t="str">
        <f t="shared" si="6"/>
        <v/>
      </c>
      <c r="AA10" s="125">
        <f>COUNTIF(AN8:AN11,CONCATENATE("&gt;=",AN10))</f>
        <v>2</v>
      </c>
      <c r="AB10" s="126" t="str">
        <f>VLOOKUP("Korea Republic",T,lang,FALSE)</f>
        <v>Korea Republic</v>
      </c>
      <c r="AC10" s="125">
        <f>COUNTIF($S$7:$T$78,"=" &amp; AB10 &amp; "_win")</f>
        <v>0</v>
      </c>
      <c r="AD10" s="125">
        <f>COUNTIF($S$7:$T$78,"=" &amp; AB10 &amp; "_draw")</f>
        <v>0</v>
      </c>
      <c r="AE10" s="125">
        <f>COUNTIF($S$7:$T$78,"=" &amp; AB10 &amp; "_lose")</f>
        <v>0</v>
      </c>
      <c r="AF10" s="125">
        <f>SUMIF($E$7:$E$78,$AB10,$F$7:$F$78) + SUMIF($H$7:$H$78,$AB10,$G$7:$G$78)</f>
        <v>0</v>
      </c>
      <c r="AG10" s="125">
        <f>SUMIF($E$7:$E$78,$AB10,$G$7:$G$78) + SUMIF($H$7:$H$78,$AB10,$F$7:$F$78)</f>
        <v>0</v>
      </c>
      <c r="AI10" s="125">
        <f>AF10-AG10</f>
        <v>0</v>
      </c>
      <c r="AJ10" s="125">
        <f>AI10-AI12</f>
        <v>0</v>
      </c>
      <c r="AK10" s="125">
        <f>AC10*3+AD10</f>
        <v>0</v>
      </c>
      <c r="AL10" s="125">
        <f>AK10/AK12*10000+AW10*1000+AJ10/AJ12*100+AF10/AF12*10+IF(AM10=0,ROW(),AM10)/2000000</f>
        <v>7.9432999999999999E-4</v>
      </c>
      <c r="AM10" s="125">
        <f>VLOOKUP(AB10,db_fifarank,2,FALSE)</f>
        <v>1588.66</v>
      </c>
      <c r="AN10" s="126">
        <f>AL10/AL12</f>
        <v>7.9366291441549015E-4</v>
      </c>
      <c r="AP10" s="125" cm="1">
        <f t="array" ref="AP10">SUMPRODUCT(($S$7:$S$78=AB10&amp;"_win")*($U$7:$U$78))+SUMPRODUCT(($T$7:$T$78=AB10&amp;"_win")*($U$7:$U$78))</f>
        <v>0</v>
      </c>
      <c r="AQ10" s="125" cm="1">
        <f t="array" ref="AQ10">SUMPRODUCT(($S$7:$S$78=AB10&amp;"_draw")*($U$7:$U$78))+SUMPRODUCT(($T$7:$T$78=AB10&amp;"_draw")*($U$7:$U$78))</f>
        <v>0</v>
      </c>
      <c r="AR10" s="125" cm="1">
        <f t="array" ref="AR10">SUMPRODUCT(($E$7:$E$78=AB10)*($U$7:$U$78)*($F$7:$F$78))+SUMPRODUCT(($H$7:$H$78=AB10)*($U$7:$U$78)*($G$7:$G$78))</f>
        <v>0</v>
      </c>
      <c r="AS10" s="125" cm="1">
        <f t="array" ref="AS10">SUMPRODUCT(($E$7:$E$78=AB10)*($U$7:$U$78)*($G$7:$G$78))+SUMPRODUCT(($H$7:$H$78=AB10)*($U$7:$U$78)*($F$7:$F$78))</f>
        <v>0</v>
      </c>
      <c r="AT10" s="125">
        <f>AR10-AS10</f>
        <v>0</v>
      </c>
      <c r="AU10" s="125">
        <f>AT10-MIN(AT8:AT11)</f>
        <v>0</v>
      </c>
      <c r="AV10" s="125">
        <f>AP10/AP12*1000+AQ10/AQ12*100+AU10/AU12*10+AR10/AR12</f>
        <v>0</v>
      </c>
      <c r="AW10" s="125">
        <f>AV10/AV12</f>
        <v>0</v>
      </c>
      <c r="AY10" s="130">
        <v>74</v>
      </c>
      <c r="AZ10" s="24" t="str">
        <f>AO32</f>
        <v>1E</v>
      </c>
      <c r="BA10" s="61"/>
      <c r="BB10" s="63"/>
      <c r="BC10" s="25"/>
      <c r="BD10" s="116">
        <f>BA10*1000+BB10*10+BC10</f>
        <v>0</v>
      </c>
      <c r="BE10" s="116"/>
      <c r="BF10" s="21"/>
      <c r="BG10" s="21"/>
      <c r="BH10" s="21"/>
      <c r="BI10" s="21"/>
      <c r="BJ10" s="21"/>
      <c r="BK10" s="116"/>
      <c r="BL10" s="116"/>
      <c r="BM10" s="21"/>
      <c r="BN10" s="21"/>
      <c r="BO10" s="21"/>
      <c r="BP10" s="21"/>
      <c r="BQ10" s="21"/>
      <c r="BR10" s="116"/>
      <c r="BS10" s="116"/>
      <c r="BT10" s="21"/>
      <c r="BU10" s="21"/>
      <c r="BV10" s="21"/>
      <c r="BW10" s="21"/>
      <c r="BX10" s="21"/>
      <c r="BZ10" s="116"/>
      <c r="CA10" s="21"/>
      <c r="CB10" s="21"/>
      <c r="CC10" s="21"/>
      <c r="CD10" s="21"/>
      <c r="CE10" s="21"/>
    </row>
    <row r="11" spans="1:83" ht="15" customHeight="1" x14ac:dyDescent="0.25">
      <c r="A11" s="16">
        <v>5</v>
      </c>
      <c r="B11" s="17" t="str" cm="1">
        <f t="array" ref="B11">INDEX(T,18+INT(MOD(R11-1,7)),lang)</f>
        <v>Sat</v>
      </c>
      <c r="C11" s="18" t="str" cm="1">
        <f t="array" ref="C11">INDEX(T,24+MONTH(R11),lang) &amp; " " &amp; DAY(R11) &amp; ", " &amp; YEAR(R11)</f>
        <v>Jun 13, 2026</v>
      </c>
      <c r="D11" s="124">
        <f t="shared" si="7"/>
        <v>0.83333333333333337</v>
      </c>
      <c r="E11" s="78" t="str">
        <f>AB22</f>
        <v>Haiti</v>
      </c>
      <c r="F11" s="19"/>
      <c r="G11" s="20"/>
      <c r="H11" s="80" t="str">
        <f>AB23</f>
        <v>Scotland</v>
      </c>
      <c r="J11" s="33" t="str">
        <f>VLOOKUP(3,AA8:AK11,2,FALSE)</f>
        <v>Czech Republic</v>
      </c>
      <c r="K11" s="23">
        <f>L11+M11+N11</f>
        <v>0</v>
      </c>
      <c r="L11" s="23">
        <f>VLOOKUP(3,AA8:AK11,3,FALSE)</f>
        <v>0</v>
      </c>
      <c r="M11" s="23">
        <f>VLOOKUP(3,AA8:AK11,4,FALSE)</f>
        <v>0</v>
      </c>
      <c r="N11" s="23">
        <f>VLOOKUP(3,AA8:AK11,5,FALSE)</f>
        <v>0</v>
      </c>
      <c r="O11" s="23" t="str">
        <f>VLOOKUP(3,AA8:AK11,6,FALSE) &amp; " - " &amp; VLOOKUP(3,AA8:AK11,7,FALSE)</f>
        <v>0 - 0</v>
      </c>
      <c r="P11" s="34">
        <f>L11*3+M11</f>
        <v>0</v>
      </c>
      <c r="R11" s="125">
        <f>DATE(2026,6,13)+TIME(14,0,0)+gmt_delta</f>
        <v>46186.833333333336</v>
      </c>
      <c r="S11" s="127" t="str">
        <f t="shared" si="1"/>
        <v/>
      </c>
      <c r="T11" s="127" t="str">
        <f t="shared" si="2"/>
        <v/>
      </c>
      <c r="U11" s="126">
        <f t="shared" si="8"/>
        <v>0</v>
      </c>
      <c r="V11" s="125">
        <f t="shared" si="3"/>
        <v>0</v>
      </c>
      <c r="W11" s="125">
        <f t="shared" si="4"/>
        <v>0</v>
      </c>
      <c r="X11" s="125">
        <f t="shared" si="5"/>
        <v>0</v>
      </c>
      <c r="Y11" s="125" t="str">
        <f t="shared" si="6"/>
        <v/>
      </c>
      <c r="AA11" s="125">
        <f>COUNTIF(AN8:AN11,CONCATENATE("&gt;=",AN11))</f>
        <v>3</v>
      </c>
      <c r="AB11" s="126" t="str">
        <f>VLOOKUP("Czech Republic",T,lang,FALSE)</f>
        <v>Czech Republic</v>
      </c>
      <c r="AC11" s="125">
        <f>COUNTIF($S$7:$T$78,"=" &amp; AB11 &amp; "_win")</f>
        <v>0</v>
      </c>
      <c r="AD11" s="125">
        <f>COUNTIF($S$7:$T$78,"=" &amp; AB11 &amp; "_draw")</f>
        <v>0</v>
      </c>
      <c r="AE11" s="125">
        <f>COUNTIF($S$7:$T$78,"=" &amp; AB11 &amp; "_lose")</f>
        <v>0</v>
      </c>
      <c r="AF11" s="125">
        <f>SUMIF($E$7:$E$78,$AB11,$F$7:$F$78) + SUMIF($H$7:$H$78,$AB11,$G$7:$G$78)</f>
        <v>0</v>
      </c>
      <c r="AG11" s="125">
        <f>SUMIF($E$7:$E$78,$AB11,$G$7:$G$78) + SUMIF($H$7:$H$78,$AB11,$F$7:$F$78)</f>
        <v>0</v>
      </c>
      <c r="AI11" s="125">
        <f>AF11-AG11</f>
        <v>0</v>
      </c>
      <c r="AJ11" s="125">
        <f>AI11-AI12</f>
        <v>0</v>
      </c>
      <c r="AK11" s="125">
        <f>AC11*3+AD11</f>
        <v>0</v>
      </c>
      <c r="AL11" s="125">
        <f>AK11/AK12*10000+AW11*1000+AJ11/AJ12*100+AF11/$AF$12*10+IF(AM11=0,ROW(),AM11)/2000000</f>
        <v>7.5069000000000004E-4</v>
      </c>
      <c r="AM11" s="125">
        <f>VLOOKUP(AB11,db_fifarank,2,FALSE)</f>
        <v>1501.38</v>
      </c>
      <c r="AN11" s="126">
        <f>AL11/AL12</f>
        <v>7.5005956368582867E-4</v>
      </c>
      <c r="AP11" s="125" cm="1">
        <f t="array" ref="AP11">SUMPRODUCT(($S$7:$S$78=AB11&amp;"_win")*($U$7:$U$78))+SUMPRODUCT(($T$7:$T$78=AB11&amp;"_win")*($U$7:$U$78))</f>
        <v>0</v>
      </c>
      <c r="AQ11" s="125" cm="1">
        <f t="array" ref="AQ11">SUMPRODUCT(($S$7:$S$78=AB11&amp;"_draw")*($U$7:$U$78))+SUMPRODUCT(($T$7:$T$78=AB11&amp;"_draw")*($U$7:$U$78))</f>
        <v>0</v>
      </c>
      <c r="AR11" s="125" cm="1">
        <f t="array" ref="AR11">SUMPRODUCT(($E$7:$E$78=AB11)*($U$7:$U$78)*($F$7:$F$78))+SUMPRODUCT(($H$7:$H$78=AB11)*($U$7:$U$78)*($G$7:$G$78))</f>
        <v>0</v>
      </c>
      <c r="AS11" s="125" cm="1">
        <f t="array" ref="AS11">SUMPRODUCT(($E$7:$E$78=AB11)*($U$7:$U$78)*($G$7:$G$78))+SUMPRODUCT(($H$7:$H$78=AB11)*($U$7:$U$78)*($F$7:$F$78))</f>
        <v>0</v>
      </c>
      <c r="AT11" s="125">
        <f>AR11-AS11</f>
        <v>0</v>
      </c>
      <c r="AU11" s="125">
        <f>AT11-MIN(AT8:AT11)</f>
        <v>0</v>
      </c>
      <c r="AV11" s="125">
        <f>AP11/AP12*1000+AQ11/AQ12*100+AU11/AU12*10+AR11/AR12</f>
        <v>0</v>
      </c>
      <c r="AW11" s="125">
        <f>AV11/AV12</f>
        <v>0</v>
      </c>
      <c r="AY11" s="131"/>
      <c r="AZ11" s="114" t="str">
        <f>IF(group_round_completed,VLOOKUP('3rd places'!G3,AH80:AO91,8,FALSE),"3rd Group A/B/C/D/F")</f>
        <v>3rd Group A/B/C/D/F</v>
      </c>
      <c r="BA11" s="62"/>
      <c r="BB11" s="64"/>
      <c r="BC11" s="27"/>
      <c r="BD11" s="117">
        <f>BA11*1000+BB11*10+BC11</f>
        <v>0</v>
      </c>
      <c r="BE11" s="116"/>
      <c r="BF11" s="21" t="str" cm="1">
        <f t="array" ref="BF11">INDEX(T,24+MONTH(BK11),lang) &amp; " " &amp; DAY(BK11) &amp; ", " &amp; YEAR(BK11) &amp; "   " &amp; (IF(HOUR(BK11)&lt;10,0,"")&amp;HOUR(BK11)) &amp; ":" &amp;  (IF(MINUTE(BK11)&lt;10,0,"")&amp;MINUTE(BK11))</f>
        <v>Jul 4, 2026   16:00</v>
      </c>
      <c r="BG11" s="21"/>
      <c r="BH11" s="21"/>
      <c r="BI11" s="21"/>
      <c r="BJ11" s="28"/>
      <c r="BK11" s="116">
        <f>DATE(2026,7,4)+TIME(10,0,0)+gmt_delta</f>
        <v>46207.666666666664</v>
      </c>
      <c r="BL11" s="116"/>
      <c r="BM11" s="21"/>
      <c r="BN11" s="21"/>
      <c r="BO11" s="21"/>
      <c r="BP11" s="21"/>
      <c r="BQ11" s="21"/>
      <c r="BR11" s="116"/>
      <c r="BS11" s="116"/>
      <c r="BT11" s="21"/>
      <c r="BU11" s="21"/>
      <c r="BV11" s="21"/>
      <c r="BW11" s="21"/>
      <c r="BX11" s="21"/>
      <c r="BZ11" s="116"/>
      <c r="CA11" s="21"/>
      <c r="CB11" s="21"/>
      <c r="CC11" s="21"/>
      <c r="CD11" s="21"/>
      <c r="CE11" s="21"/>
    </row>
    <row r="12" spans="1:83" x14ac:dyDescent="0.25">
      <c r="A12" s="16">
        <v>6</v>
      </c>
      <c r="B12" s="17" t="str" cm="1">
        <f t="array" ref="B12">INDEX(T,18+INT(MOD(R12-1,7)),lang)</f>
        <v>Sat</v>
      </c>
      <c r="C12" s="18" t="str" cm="1">
        <f t="array" ref="C12">INDEX(T,24+MONTH(R12),lang) &amp; " " &amp; DAY(R12) &amp; ", " &amp; YEAR(R12)</f>
        <v>Jun 13, 2026</v>
      </c>
      <c r="D12" s="124">
        <f t="shared" si="7"/>
        <v>0.95833333333333337</v>
      </c>
      <c r="E12" s="78" t="str">
        <f>AB28</f>
        <v>Australia</v>
      </c>
      <c r="F12" s="19"/>
      <c r="G12" s="20"/>
      <c r="H12" s="80" t="str">
        <f>AB29</f>
        <v>Turkey</v>
      </c>
      <c r="J12" s="35" t="str">
        <f>VLOOKUP(4,AA8:AK11,2,FALSE)</f>
        <v>South Africa</v>
      </c>
      <c r="K12" s="36">
        <f>L12+M12+N12</f>
        <v>0</v>
      </c>
      <c r="L12" s="36">
        <f>VLOOKUP(4,AA8:AK11,3,FALSE)</f>
        <v>0</v>
      </c>
      <c r="M12" s="36">
        <f>VLOOKUP(4,AA8:AK11,4,FALSE)</f>
        <v>0</v>
      </c>
      <c r="N12" s="36">
        <f>VLOOKUP(4,AA8:AK11,5,FALSE)</f>
        <v>0</v>
      </c>
      <c r="O12" s="36" t="str">
        <f>VLOOKUP(4,AA8:AK11,6,FALSE) &amp; " - " &amp; VLOOKUP(4,AA8:AK11,7,FALSE)</f>
        <v>0 - 0</v>
      </c>
      <c r="P12" s="37">
        <f>L12*3+M12</f>
        <v>0</v>
      </c>
      <c r="R12" s="125">
        <f>DATE(2026,6,13)+TIME(17,0,0)+gmt_delta</f>
        <v>46186.958333333336</v>
      </c>
      <c r="S12" s="127" t="str">
        <f t="shared" si="1"/>
        <v/>
      </c>
      <c r="T12" s="127" t="str">
        <f t="shared" si="2"/>
        <v/>
      </c>
      <c r="U12" s="126">
        <f t="shared" si="8"/>
        <v>0</v>
      </c>
      <c r="V12" s="125">
        <f t="shared" si="3"/>
        <v>0</v>
      </c>
      <c r="W12" s="125">
        <f t="shared" si="4"/>
        <v>0</v>
      </c>
      <c r="X12" s="125">
        <f t="shared" si="5"/>
        <v>0</v>
      </c>
      <c r="Y12" s="125" t="str">
        <f t="shared" si="6"/>
        <v/>
      </c>
      <c r="AC12" s="125">
        <f t="shared" ref="AC12:AE12" si="9">MAX(AC8:AC11)-MIN(AC8:AC11)+1</f>
        <v>1</v>
      </c>
      <c r="AD12" s="125">
        <f t="shared" si="9"/>
        <v>1</v>
      </c>
      <c r="AE12" s="125">
        <f t="shared" si="9"/>
        <v>1</v>
      </c>
      <c r="AF12" s="125">
        <f>MAX(AF8:AF11)+1</f>
        <v>1</v>
      </c>
      <c r="AI12" s="125">
        <f>MIN(AI8:AI11)</f>
        <v>0</v>
      </c>
      <c r="AJ12" s="125">
        <f>MAX(AJ8:AJ11)+1</f>
        <v>1</v>
      </c>
      <c r="AK12" s="125">
        <f>MAX(AK8:AK11)+1</f>
        <v>1</v>
      </c>
      <c r="AL12" s="125">
        <f>MAX(AL8:AL11)+1</f>
        <v>1.0008405149999999</v>
      </c>
      <c r="AP12" s="125">
        <f>MAX(AP8:AP11)-MIN(AP8:AP11)+1</f>
        <v>1</v>
      </c>
      <c r="AQ12" s="125">
        <f>MAX(AQ8:AQ11)-MIN(AQ8:AQ11)+1</f>
        <v>1</v>
      </c>
      <c r="AR12" s="125">
        <f>MAX(AR8:AR11)-MIN(AR8:AR11)+1</f>
        <v>1</v>
      </c>
      <c r="AS12" s="125">
        <f>MAX(AS8:AS11)-MIN(AS8:AS11)+1</f>
        <v>1</v>
      </c>
      <c r="AU12" s="125">
        <f>MAX(AU8:AU11)-MIN(AU8:AU11)+1</f>
        <v>1</v>
      </c>
      <c r="AV12" s="125">
        <f>MAX(AV8:AV11)+1</f>
        <v>1</v>
      </c>
      <c r="AY12" s="21"/>
      <c r="AZ12" s="21"/>
      <c r="BA12" s="21"/>
      <c r="BB12" s="21"/>
      <c r="BC12" s="21"/>
      <c r="BD12" s="118"/>
      <c r="BE12" s="116"/>
      <c r="BF12" s="130">
        <v>89</v>
      </c>
      <c r="BG12" s="112" t="str">
        <f>IF(BD10&gt;BD11,AZ10,IF(BD10&lt;BD11,AZ11,""))</f>
        <v/>
      </c>
      <c r="BH12" s="61"/>
      <c r="BI12" s="63"/>
      <c r="BJ12" s="25"/>
      <c r="BK12" s="116">
        <f>BH12*1000+BI12*10+BJ12</f>
        <v>0</v>
      </c>
      <c r="BL12" s="116"/>
      <c r="BM12" s="21"/>
      <c r="BN12" s="21"/>
      <c r="BO12" s="21"/>
      <c r="BP12" s="21"/>
      <c r="BQ12" s="21"/>
      <c r="BR12" s="116"/>
      <c r="BS12" s="116"/>
      <c r="BT12" s="21"/>
      <c r="BU12" s="21"/>
      <c r="BV12" s="21"/>
      <c r="BW12" s="21"/>
      <c r="BX12" s="21"/>
      <c r="BZ12" s="116"/>
      <c r="CA12" s="21"/>
      <c r="CB12" s="21"/>
      <c r="CC12" s="21"/>
      <c r="CD12" s="21"/>
      <c r="CE12" s="21"/>
    </row>
    <row r="13" spans="1:83" x14ac:dyDescent="0.25">
      <c r="A13" s="16">
        <v>7</v>
      </c>
      <c r="B13" s="17" t="str" cm="1">
        <f t="array" ref="B13">INDEX(T,18+INT(MOD(R13-1,7)),lang)</f>
        <v>Sat</v>
      </c>
      <c r="C13" s="18" t="str" cm="1">
        <f t="array" ref="C13">INDEX(T,24+MONTH(R13),lang) &amp; " " &amp; DAY(R13) &amp; ", " &amp; YEAR(R13)</f>
        <v>Jun 13, 2026</v>
      </c>
      <c r="D13" s="124">
        <f t="shared" si="7"/>
        <v>0.70833333333333337</v>
      </c>
      <c r="E13" s="78" t="str">
        <f>AB20</f>
        <v>Brazil</v>
      </c>
      <c r="F13" s="19"/>
      <c r="G13" s="20"/>
      <c r="H13" s="80" t="str">
        <f>AB21</f>
        <v>Morocco</v>
      </c>
      <c r="R13" s="125">
        <f>DATE(2026,6,13)+TIME(11,0,0)+gmt_delta</f>
        <v>46186.708333333336</v>
      </c>
      <c r="S13" s="127" t="str">
        <f t="shared" si="1"/>
        <v/>
      </c>
      <c r="T13" s="127" t="str">
        <f t="shared" si="2"/>
        <v/>
      </c>
      <c r="U13" s="126">
        <f t="shared" si="8"/>
        <v>0</v>
      </c>
      <c r="V13" s="125">
        <f t="shared" si="3"/>
        <v>0</v>
      </c>
      <c r="W13" s="125">
        <f t="shared" si="4"/>
        <v>0</v>
      </c>
      <c r="X13" s="125">
        <f t="shared" si="5"/>
        <v>0</v>
      </c>
      <c r="Y13" s="125" t="str">
        <f t="shared" si="6"/>
        <v/>
      </c>
      <c r="AY13" s="21" t="str" cm="1">
        <f t="array" ref="AY13">INDEX(T,24+MONTH(BD13),lang) &amp; " " &amp; DAY(BD13) &amp; ", " &amp; YEAR(BD13) &amp; "   " &amp; (IF(HOUR(BD13)&lt;10,0,"")&amp;HOUR(BD13)) &amp; ":" &amp;  (IF(MINUTE(BD13)&lt;10,0,"")&amp;MINUTE(BD13))</f>
        <v>Jun 30, 2026   16:00</v>
      </c>
      <c r="AZ13" s="21"/>
      <c r="BA13" s="21"/>
      <c r="BB13" s="21"/>
      <c r="BC13" s="28"/>
      <c r="BD13" s="118">
        <f>DATE(2026,6,30)+TIME(10,0,0)+gmt_delta</f>
        <v>46203.666666666664</v>
      </c>
      <c r="BE13" s="119"/>
      <c r="BF13" s="131"/>
      <c r="BG13" s="26" t="str">
        <f>IF(BD14&gt;BD15,AZ14,IF(BD14&lt;BD15,AZ15,""))</f>
        <v/>
      </c>
      <c r="BH13" s="62"/>
      <c r="BI13" s="64"/>
      <c r="BJ13" s="27"/>
      <c r="BK13" s="117">
        <f>BH13*1000+BI13*10+BJ13</f>
        <v>0</v>
      </c>
      <c r="BL13" s="116"/>
      <c r="BM13" s="21"/>
      <c r="BN13" s="21"/>
      <c r="BO13" s="21"/>
      <c r="BP13" s="21"/>
      <c r="BQ13" s="21"/>
      <c r="BR13" s="116"/>
      <c r="BS13" s="116"/>
      <c r="BT13" s="21"/>
      <c r="BU13" s="21"/>
      <c r="BV13" s="21"/>
      <c r="BW13" s="21"/>
      <c r="BX13" s="21"/>
      <c r="BZ13" s="116"/>
      <c r="CA13" s="21"/>
      <c r="CB13" s="21"/>
      <c r="CC13" s="21"/>
      <c r="CD13" s="21"/>
      <c r="CE13" s="21"/>
    </row>
    <row r="14" spans="1:83" x14ac:dyDescent="0.25">
      <c r="A14" s="16">
        <v>8</v>
      </c>
      <c r="B14" s="17" t="str" cm="1">
        <f t="array" ref="B14">INDEX(T,18+INT(MOD(R14-1,7)),lang)</f>
        <v>Sun</v>
      </c>
      <c r="C14" s="18" t="str" cm="1">
        <f t="array" ref="C14">INDEX(T,24+MONTH(R14),lang) &amp; " " &amp; DAY(R14) &amp; ", " &amp; YEAR(R14)</f>
        <v>Jun 14, 2026</v>
      </c>
      <c r="D14" s="124">
        <f t="shared" si="7"/>
        <v>8.3333333333333329E-2</v>
      </c>
      <c r="E14" s="78" t="str">
        <f>AB16</f>
        <v>Qatar</v>
      </c>
      <c r="F14" s="19"/>
      <c r="G14" s="20"/>
      <c r="H14" s="80" t="str">
        <f>AB17</f>
        <v>Switzerland</v>
      </c>
      <c r="J14" s="38" t="str" cm="1">
        <f t="array" ref="J14">INDEX(T,9,lang) &amp; " " &amp; "B"</f>
        <v>Group B</v>
      </c>
      <c r="K14" s="94" t="str" cm="1">
        <f t="array" ref="K14">INDEX(T,10,lang)</f>
        <v>PL</v>
      </c>
      <c r="L14" s="94" t="str" cm="1">
        <f t="array" ref="L14">INDEX(T,11,lang)</f>
        <v>W</v>
      </c>
      <c r="M14" s="94" t="str" cm="1">
        <f t="array" ref="M14">INDEX(T,12,lang)</f>
        <v>DRAW</v>
      </c>
      <c r="N14" s="94" t="str" cm="1">
        <f t="array" ref="N14">INDEX(T,13,lang)</f>
        <v>L</v>
      </c>
      <c r="O14" s="94" t="str" cm="1">
        <f t="array" ref="O14">INDEX(T,14,lang)</f>
        <v>GF - GA</v>
      </c>
      <c r="P14" s="95" t="str" cm="1">
        <f t="array" ref="P14">INDEX(T,15,lang)</f>
        <v>PNT</v>
      </c>
      <c r="R14" s="125">
        <f>DATE(2026,6,13)+TIME(20,0,0)+gmt_delta</f>
        <v>46187.083333333336</v>
      </c>
      <c r="S14" s="127" t="str">
        <f t="shared" si="1"/>
        <v/>
      </c>
      <c r="T14" s="127" t="str">
        <f t="shared" si="2"/>
        <v/>
      </c>
      <c r="U14" s="126">
        <f t="shared" si="8"/>
        <v>0</v>
      </c>
      <c r="V14" s="125">
        <f t="shared" si="3"/>
        <v>0</v>
      </c>
      <c r="W14" s="125">
        <f t="shared" si="4"/>
        <v>0</v>
      </c>
      <c r="X14" s="125">
        <f t="shared" si="5"/>
        <v>0</v>
      </c>
      <c r="Y14" s="125" t="str">
        <f t="shared" si="6"/>
        <v/>
      </c>
      <c r="AA14" s="125">
        <f>COUNTIF(AN14:AN17,CONCATENATE("&gt;=",AN14))</f>
        <v>2</v>
      </c>
      <c r="AB14" s="126" t="str">
        <f>VLOOKUP("Canada",T,lang,FALSE)</f>
        <v>Canada</v>
      </c>
      <c r="AC14" s="125">
        <f>COUNTIF($S$7:$T$78,"=" &amp; AB14 &amp; "_win")</f>
        <v>0</v>
      </c>
      <c r="AD14" s="125">
        <f>COUNTIF($S$7:$T$78,"=" &amp; AB14 &amp; "_draw")</f>
        <v>0</v>
      </c>
      <c r="AE14" s="125">
        <f>COUNTIF($S$7:$T$78,"=" &amp; AB14 &amp; "_lose")</f>
        <v>0</v>
      </c>
      <c r="AF14" s="125">
        <f>SUMIF($E$7:$E$78,$AB14,$F$7:$F$78) + SUMIF($H$7:$H$78,$AB14,$G$7:$G$78)</f>
        <v>0</v>
      </c>
      <c r="AG14" s="125">
        <f>SUMIF($E$7:$E$78,$AB14,$G$7:$G$78) + SUMIF($H$7:$H$78,$AB14,$F$7:$F$78)</f>
        <v>0</v>
      </c>
      <c r="AI14" s="125">
        <f>AF14-AG14</f>
        <v>0</v>
      </c>
      <c r="AJ14" s="125">
        <f>AI14-AI18</f>
        <v>0</v>
      </c>
      <c r="AK14" s="125">
        <f>AC14*3+AD14</f>
        <v>0</v>
      </c>
      <c r="AL14" s="125">
        <f>AK14/AK18*10000+AW14*1000+AJ14/AJ18*100+AF14/AF18*10+IF(AM14=0,ROW(),AM14)/2000000</f>
        <v>7.7824000000000003E-4</v>
      </c>
      <c r="AM14" s="125">
        <f>VLOOKUP(AB14,db_fifarank,2,FALSE)</f>
        <v>1556.48</v>
      </c>
      <c r="AN14" s="126">
        <f>AL14/AL18</f>
        <v>7.7759871434028365E-4</v>
      </c>
      <c r="AO14" s="126" t="str">
        <f>IF(SUM(AC14:AE17)=12,J15,"1B")</f>
        <v>1B</v>
      </c>
      <c r="AP14" s="125" cm="1">
        <f t="array" ref="AP14">SUMPRODUCT(($S$7:$S$78=AB14&amp;"_win")*($U$7:$U$78))+SUMPRODUCT(($T$7:$T$78=AB14&amp;"_win")*($U$7:$U$78))</f>
        <v>0</v>
      </c>
      <c r="AQ14" s="125" cm="1">
        <f t="array" ref="AQ14">SUMPRODUCT(($S$7:$S$78=AB14&amp;"_draw")*($U$7:$U$78))+SUMPRODUCT(($T$7:$T$78=AB14&amp;"_draw")*($U$7:$U$78))</f>
        <v>0</v>
      </c>
      <c r="AR14" s="125" cm="1">
        <f t="array" ref="AR14">SUMPRODUCT(($E$7:$E$78=AB14)*($U$7:$U$78)*($F$7:$F$78))+SUMPRODUCT(($H$7:$H$78=AB14)*($U$7:$U$78)*($G$7:$G$78))</f>
        <v>0</v>
      </c>
      <c r="AS14" s="125" cm="1">
        <f t="array" ref="AS14">SUMPRODUCT(($E$7:$E$78=AB14)*($U$7:$U$78)*($G$7:$G$78))+SUMPRODUCT(($H$7:$H$78=AB14)*($U$7:$U$78)*($F$7:$F$78))</f>
        <v>0</v>
      </c>
      <c r="AT14" s="125">
        <f>AR14-AS14</f>
        <v>0</v>
      </c>
      <c r="AU14" s="125">
        <f>AT14-MIN(AT14:AT17)</f>
        <v>0</v>
      </c>
      <c r="AV14" s="125">
        <f>AP14/AP18*1000+AQ14/AQ18*100+AU14/AU18*10+AR14/AR18</f>
        <v>0</v>
      </c>
      <c r="AW14" s="125">
        <f>AV14/AV18</f>
        <v>0</v>
      </c>
      <c r="AY14" s="130">
        <v>77</v>
      </c>
      <c r="AZ14" s="24" t="str">
        <f>AO56</f>
        <v>1I</v>
      </c>
      <c r="BA14" s="61"/>
      <c r="BB14" s="63"/>
      <c r="BC14" s="25"/>
      <c r="BD14" s="120">
        <f>BA14*1000+BB14*10+BC14</f>
        <v>0</v>
      </c>
      <c r="BE14" s="116"/>
      <c r="BF14" s="21"/>
      <c r="BG14" s="21"/>
      <c r="BH14" s="21"/>
      <c r="BI14" s="21"/>
      <c r="BJ14" s="21"/>
      <c r="BK14" s="118"/>
      <c r="BL14" s="116"/>
      <c r="BM14" s="21"/>
      <c r="BN14" s="21"/>
      <c r="BO14" s="21"/>
      <c r="BP14" s="21"/>
      <c r="BQ14" s="28"/>
      <c r="BR14" s="116"/>
      <c r="BS14" s="116"/>
      <c r="BT14" s="21"/>
      <c r="BU14" s="21"/>
      <c r="BV14" s="21"/>
      <c r="BW14" s="21"/>
      <c r="BX14" s="21"/>
      <c r="BZ14" s="116"/>
      <c r="CA14" s="21"/>
      <c r="CB14" s="21"/>
      <c r="CC14" s="21"/>
      <c r="CD14" s="21"/>
      <c r="CE14" s="21"/>
    </row>
    <row r="15" spans="1:83" x14ac:dyDescent="0.25">
      <c r="A15" s="16">
        <v>9</v>
      </c>
      <c r="B15" s="17" t="str" cm="1">
        <f t="array" ref="B15">INDEX(T,18+INT(MOD(R15-1,7)),lang)</f>
        <v>Sun</v>
      </c>
      <c r="C15" s="18" t="str" cm="1">
        <f t="array" ref="C15">INDEX(T,24+MONTH(R15),lang) &amp; " " &amp; DAY(R15) &amp; ", " &amp; YEAR(R15)</f>
        <v>Jun 14, 2026</v>
      </c>
      <c r="D15" s="124">
        <f t="shared" si="7"/>
        <v>0.75</v>
      </c>
      <c r="E15" s="78" t="str">
        <f>AB34</f>
        <v>Ivory Coast</v>
      </c>
      <c r="F15" s="19"/>
      <c r="G15" s="20"/>
      <c r="H15" s="80" t="str">
        <f>AB35</f>
        <v>Ecuador</v>
      </c>
      <c r="J15" s="30" t="str">
        <f>VLOOKUP(1,AA14:AK17,2,FALSE)</f>
        <v>Switzerland</v>
      </c>
      <c r="K15" s="31">
        <f>L15+M15+N15</f>
        <v>0</v>
      </c>
      <c r="L15" s="31">
        <f>VLOOKUP(1,AA14:AK17,3,FALSE)</f>
        <v>0</v>
      </c>
      <c r="M15" s="31">
        <f>VLOOKUP(1,AA14:AK17,4,FALSE)</f>
        <v>0</v>
      </c>
      <c r="N15" s="31">
        <f>VLOOKUP(1,AA14:AK17,5,FALSE)</f>
        <v>0</v>
      </c>
      <c r="O15" s="31" t="str">
        <f>VLOOKUP(1,AA14:AK17,6,FALSE) &amp; " - " &amp; VLOOKUP(1,AA14:AK17,7,FALSE)</f>
        <v>0 - 0</v>
      </c>
      <c r="P15" s="32">
        <f>L15*3+M15</f>
        <v>0</v>
      </c>
      <c r="R15" s="125">
        <f>DATE(2026,6,14)+TIME(12,0,0)+gmt_delta</f>
        <v>46187.75</v>
      </c>
      <c r="S15" s="127" t="str">
        <f t="shared" si="1"/>
        <v/>
      </c>
      <c r="T15" s="127" t="str">
        <f t="shared" si="2"/>
        <v/>
      </c>
      <c r="U15" s="126">
        <f t="shared" si="8"/>
        <v>0</v>
      </c>
      <c r="V15" s="125">
        <f t="shared" si="3"/>
        <v>0</v>
      </c>
      <c r="W15" s="125">
        <f t="shared" si="4"/>
        <v>0</v>
      </c>
      <c r="X15" s="125">
        <f t="shared" si="5"/>
        <v>0</v>
      </c>
      <c r="Y15" s="125" t="str">
        <f t="shared" si="6"/>
        <v/>
      </c>
      <c r="AA15" s="125">
        <f>COUNTIF(AN14:AN17,CONCATENATE("&gt;=",AN15))</f>
        <v>4</v>
      </c>
      <c r="AB15" s="126" t="str">
        <f>VLOOKUP("Bosnia and Herzegovina",T,lang,FALSE)</f>
        <v>Bosnia and Herzegovina</v>
      </c>
      <c r="AC15" s="125">
        <f>COUNTIF($S$7:$T$78,"=" &amp; AB15 &amp; "_win")</f>
        <v>0</v>
      </c>
      <c r="AD15" s="125">
        <f>COUNTIF($S$7:$T$78,"=" &amp; AB15 &amp; "_draw")</f>
        <v>0</v>
      </c>
      <c r="AE15" s="125">
        <f>COUNTIF($S$7:$T$78,"=" &amp; AB15 &amp; "_lose")</f>
        <v>0</v>
      </c>
      <c r="AF15" s="125">
        <f>SUMIF($E$7:$E$78,$AB15,$F$7:$F$78) + SUMIF($H$7:$H$78,$AB15,$G$7:$G$78)</f>
        <v>0</v>
      </c>
      <c r="AG15" s="125">
        <f>SUMIF($E$7:$E$78,$AB15,$G$7:$G$78) + SUMIF($H$7:$H$78,$AB15,$F$7:$F$78)</f>
        <v>0</v>
      </c>
      <c r="AI15" s="125">
        <f>AF15-AG15</f>
        <v>0</v>
      </c>
      <c r="AJ15" s="125">
        <f>AI15-AI18</f>
        <v>0</v>
      </c>
      <c r="AK15" s="125">
        <f>AC15*3+AD15</f>
        <v>0</v>
      </c>
      <c r="AL15" s="125">
        <f>AK15/AK18*10000+AW15*1000+AJ15/AJ18*100+AF15/AF18*10+IF(AM15=0,ROW(),AM15)/2000000</f>
        <v>6.9291999999999997E-4</v>
      </c>
      <c r="AM15" s="125">
        <f>VLOOKUP(AB15,db_fifarank,2,FALSE)</f>
        <v>1385.84</v>
      </c>
      <c r="AN15" s="126">
        <f>AL15/AL18</f>
        <v>6.9234901976340118E-4</v>
      </c>
      <c r="AO15" s="126" t="str">
        <f>IF(SUM(AC14:AE17)=12,J16,"2B")</f>
        <v>2B</v>
      </c>
      <c r="AP15" s="125" cm="1">
        <f t="array" ref="AP15">SUMPRODUCT(($S$7:$S$78=AB15&amp;"_win")*($U$7:$U$78))+SUMPRODUCT(($T$7:$T$78=AB15&amp;"_win")*($U$7:$U$78))</f>
        <v>0</v>
      </c>
      <c r="AQ15" s="125" cm="1">
        <f t="array" ref="AQ15">SUMPRODUCT(($S$7:$S$78=AB15&amp;"_draw")*($U$7:$U$78))+SUMPRODUCT(($T$7:$T$78=AB15&amp;"_draw")*($U$7:$U$78))</f>
        <v>0</v>
      </c>
      <c r="AR15" s="125" cm="1">
        <f t="array" ref="AR15">SUMPRODUCT(($E$7:$E$78=AB15)*($U$7:$U$78)*($F$7:$F$78))+SUMPRODUCT(($H$7:$H$78=AB15)*($U$7:$U$78)*($G$7:$G$78))</f>
        <v>0</v>
      </c>
      <c r="AS15" s="125" cm="1">
        <f t="array" ref="AS15">SUMPRODUCT(($E$7:$E$78=AB15)*($U$7:$U$78)*($G$7:$G$78))+SUMPRODUCT(($H$7:$H$78=AB15)*($U$7:$U$78)*($F$7:$F$78))</f>
        <v>0</v>
      </c>
      <c r="AT15" s="125">
        <f>AR15-AS15</f>
        <v>0</v>
      </c>
      <c r="AU15" s="125">
        <f>AT15-MIN(AT14:AT17)</f>
        <v>0</v>
      </c>
      <c r="AV15" s="125">
        <f>AP15/AP18*1000+AQ15/AQ18*100+AU15/AU18*10+AR15/AR18</f>
        <v>0</v>
      </c>
      <c r="AW15" s="125">
        <f>AV15/AV18</f>
        <v>0</v>
      </c>
      <c r="AY15" s="131"/>
      <c r="AZ15" s="26" t="str">
        <f>IF(group_round_completed,VLOOKUP('3rd places'!I3,AH80:AO91,8,FALSE),"3rd Group C/D/F/G/H")</f>
        <v>3rd Group C/D/F/G/H</v>
      </c>
      <c r="BA15" s="62"/>
      <c r="BB15" s="64"/>
      <c r="BC15" s="27"/>
      <c r="BD15" s="116">
        <f>BA15*1000+BB15*10+BC15</f>
        <v>0</v>
      </c>
      <c r="BE15" s="116"/>
      <c r="BF15" s="21"/>
      <c r="BG15" s="21"/>
      <c r="BH15" s="21"/>
      <c r="BI15" s="21"/>
      <c r="BJ15" s="21"/>
      <c r="BK15" s="118"/>
      <c r="BL15" s="116"/>
      <c r="BM15" s="21" t="str" cm="1">
        <f t="array" ref="BM15">INDEX(T,24+MONTH(BR15),lang) &amp; " " &amp; DAY(BR15) &amp; ", " &amp; YEAR(BR15) &amp; "   " &amp; (IF(HOUR(BR15)&lt;10,0,"")&amp;HOUR(BR15)) &amp; ":" &amp;  (IF(MINUTE(BR15)&lt;10,0,"")&amp;MINUTE(BR15))</f>
        <v>Jul 9, 2026   15:00</v>
      </c>
      <c r="BN15" s="21"/>
      <c r="BO15" s="21"/>
      <c r="BP15" s="21"/>
      <c r="BQ15" s="28"/>
      <c r="BR15" s="116">
        <f>DATE(2026,7,9)+TIME(9,0,0)+gmt_delta</f>
        <v>46212.625</v>
      </c>
      <c r="BS15" s="116"/>
      <c r="BT15" s="21"/>
      <c r="BU15" s="21"/>
      <c r="BV15" s="21"/>
      <c r="BW15" s="21"/>
    </row>
    <row r="16" spans="1:83" x14ac:dyDescent="0.25">
      <c r="A16" s="16">
        <v>10</v>
      </c>
      <c r="B16" s="17" t="str" cm="1">
        <f t="array" ref="B16">INDEX(T,18+INT(MOD(R16-1,7)),lang)</f>
        <v>Mon</v>
      </c>
      <c r="C16" s="18" t="str" cm="1">
        <f t="array" ref="C16">INDEX(T,24+MONTH(R16),lang) &amp; " " &amp; DAY(R16) &amp; ", " &amp; YEAR(R16)</f>
        <v>Jun 15, 2026</v>
      </c>
      <c r="D16" s="124">
        <f t="shared" si="7"/>
        <v>0</v>
      </c>
      <c r="E16" s="78" t="str">
        <f>AB32</f>
        <v>Germany</v>
      </c>
      <c r="F16" s="19"/>
      <c r="G16" s="20"/>
      <c r="H16" s="80" t="str">
        <f>AB33</f>
        <v>Curaçao</v>
      </c>
      <c r="J16" s="33" t="str">
        <f>VLOOKUP(2,AA14:AK17,2,FALSE)</f>
        <v>Canada</v>
      </c>
      <c r="K16" s="23">
        <f>L16+M16+N16</f>
        <v>0</v>
      </c>
      <c r="L16" s="23">
        <f>VLOOKUP(2,AA14:AK17,3,FALSE)</f>
        <v>0</v>
      </c>
      <c r="M16" s="23">
        <f>VLOOKUP(2,AA14:AK17,4,FALSE)</f>
        <v>0</v>
      </c>
      <c r="N16" s="23">
        <f>VLOOKUP(2,AA14:AK17,5,FALSE)</f>
        <v>0</v>
      </c>
      <c r="O16" s="23" t="str">
        <f>VLOOKUP(2,AA14:AK17,6,FALSE) &amp; " - " &amp; VLOOKUP(2,AA14:AK17,7,FALSE)</f>
        <v>0 - 0</v>
      </c>
      <c r="P16" s="34">
        <f>L16*3+M16</f>
        <v>0</v>
      </c>
      <c r="R16" s="125">
        <f>DATE(2026,6,14)+TIME(18,0,0)+gmt_delta</f>
        <v>46188</v>
      </c>
      <c r="S16" s="127" t="str">
        <f t="shared" si="1"/>
        <v/>
      </c>
      <c r="T16" s="127" t="str">
        <f t="shared" si="2"/>
        <v/>
      </c>
      <c r="U16" s="126">
        <f t="shared" si="8"/>
        <v>0</v>
      </c>
      <c r="V16" s="125">
        <f t="shared" si="3"/>
        <v>0</v>
      </c>
      <c r="W16" s="125">
        <f t="shared" si="4"/>
        <v>0</v>
      </c>
      <c r="X16" s="125">
        <f t="shared" si="5"/>
        <v>0</v>
      </c>
      <c r="Y16" s="125" t="str">
        <f t="shared" si="6"/>
        <v/>
      </c>
      <c r="AA16" s="125">
        <f>COUNTIF(AN14:AN17,CONCATENATE("&gt;=",AN16))</f>
        <v>3</v>
      </c>
      <c r="AB16" s="126" t="str">
        <f>VLOOKUP("Qatar",T,lang,FALSE)</f>
        <v>Qatar</v>
      </c>
      <c r="AC16" s="125">
        <f>COUNTIF($S$7:$T$78,"=" &amp; AB16 &amp; "_win")</f>
        <v>0</v>
      </c>
      <c r="AD16" s="125">
        <f>COUNTIF($S$7:$T$78,"=" &amp; AB16 &amp; "_draw")</f>
        <v>0</v>
      </c>
      <c r="AE16" s="125">
        <f>COUNTIF($S$7:$T$78,"=" &amp; AB16 &amp; "_lose")</f>
        <v>0</v>
      </c>
      <c r="AF16" s="125">
        <f>SUMIF($E$7:$E$78,$AB16,$F$7:$F$78) + SUMIF($H$7:$H$78,$AB16,$G$7:$G$78)</f>
        <v>0</v>
      </c>
      <c r="AG16" s="125">
        <f>SUMIF($E$7:$E$78,$AB16,$G$7:$G$78) + SUMIF($H$7:$H$78,$AB16,$F$7:$F$78)</f>
        <v>0</v>
      </c>
      <c r="AI16" s="125">
        <f>AF16-AG16</f>
        <v>0</v>
      </c>
      <c r="AJ16" s="125">
        <f>AI16-AI18</f>
        <v>0</v>
      </c>
      <c r="AK16" s="125">
        <f>AC16*3+AD16</f>
        <v>0</v>
      </c>
      <c r="AL16" s="125">
        <f>AK16/AK18*10000+AW16*1000+AJ16/AJ18*100+AF16/AF18*10+IF(AM16=0,ROW(),AM16)/2000000</f>
        <v>7.2747999999999997E-4</v>
      </c>
      <c r="AM16" s="125">
        <f>VLOOKUP(AB16,db_fifarank,2,FALSE)</f>
        <v>1454.96</v>
      </c>
      <c r="AN16" s="126">
        <f>AL16/AL18</f>
        <v>7.268805416173282E-4</v>
      </c>
      <c r="AP16" s="125" cm="1">
        <f t="array" ref="AP16">SUMPRODUCT(($S$7:$S$78=AB16&amp;"_win")*($U$7:$U$78))+SUMPRODUCT(($T$7:$T$78=AB16&amp;"_win")*($U$7:$U$78))</f>
        <v>0</v>
      </c>
      <c r="AQ16" s="125" cm="1">
        <f t="array" ref="AQ16">SUMPRODUCT(($S$7:$S$78=AB16&amp;"_draw")*($U$7:$U$78))+SUMPRODUCT(($T$7:$T$78=AB16&amp;"_draw")*($U$7:$U$78))</f>
        <v>0</v>
      </c>
      <c r="AR16" s="125" cm="1">
        <f t="array" ref="AR16">SUMPRODUCT(($E$7:$E$78=AB16)*($U$7:$U$78)*($F$7:$F$78))+SUMPRODUCT(($H$7:$H$78=AB16)*($U$7:$U$78)*($G$7:$G$78))</f>
        <v>0</v>
      </c>
      <c r="AS16" s="125" cm="1">
        <f t="array" ref="AS16">SUMPRODUCT(($E$7:$E$78=AB16)*($U$7:$U$78)*($G$7:$G$78))+SUMPRODUCT(($H$7:$H$78=AB16)*($U$7:$U$78)*($F$7:$F$78))</f>
        <v>0</v>
      </c>
      <c r="AT16" s="125">
        <f>AR16-AS16</f>
        <v>0</v>
      </c>
      <c r="AU16" s="125">
        <f>AT16-MIN(AT14:AT17)</f>
        <v>0</v>
      </c>
      <c r="AV16" s="125">
        <f>AP16/AP18*1000+AQ16/AQ18*100+AU16/AU18*10+AR16/AR18</f>
        <v>0</v>
      </c>
      <c r="AW16" s="125">
        <f>AV16/AV18</f>
        <v>0</v>
      </c>
      <c r="AY16" s="21"/>
      <c r="AZ16" s="21"/>
      <c r="BA16" s="21"/>
      <c r="BB16" s="21"/>
      <c r="BC16" s="21"/>
      <c r="BD16" s="116"/>
      <c r="BE16" s="116"/>
      <c r="BF16" s="21"/>
      <c r="BG16" s="21"/>
      <c r="BH16" s="21"/>
      <c r="BI16" s="21"/>
      <c r="BJ16" s="21"/>
      <c r="BK16" s="118"/>
      <c r="BL16" s="116"/>
      <c r="BM16" s="130">
        <v>97</v>
      </c>
      <c r="BN16" s="112" t="str">
        <f>IF(BK12&gt;BK13,BG12,IF(BK12&lt;BK13,BG13,""))</f>
        <v/>
      </c>
      <c r="BO16" s="61"/>
      <c r="BP16" s="63"/>
      <c r="BQ16" s="25"/>
      <c r="BR16" s="116">
        <f>BO16*1000+BP16*10+BQ16</f>
        <v>0</v>
      </c>
      <c r="BS16" s="116"/>
      <c r="BT16" s="21"/>
      <c r="BU16" s="21"/>
      <c r="BV16" s="21"/>
      <c r="BW16" s="21"/>
    </row>
    <row r="17" spans="1:83" x14ac:dyDescent="0.25">
      <c r="A17" s="16">
        <v>11</v>
      </c>
      <c r="B17" s="17" t="str" cm="1">
        <f t="array" ref="B17">INDEX(T,18+INT(MOD(R17-1,7)),lang)</f>
        <v>Sun</v>
      </c>
      <c r="C17" s="18" t="str" cm="1">
        <f t="array" ref="C17">INDEX(T,24+MONTH(R17),lang) &amp; " " &amp; DAY(R17) &amp; ", " &amp; YEAR(R17)</f>
        <v>Jun 14, 2026</v>
      </c>
      <c r="D17" s="124">
        <f t="shared" si="7"/>
        <v>0.625</v>
      </c>
      <c r="E17" s="78" t="str">
        <f>AB38</f>
        <v>Netherlands</v>
      </c>
      <c r="F17" s="19"/>
      <c r="G17" s="20"/>
      <c r="H17" s="80" t="str">
        <f>AB39</f>
        <v>Japan</v>
      </c>
      <c r="J17" s="33" t="str">
        <f>VLOOKUP(3,AA14:AK17,2,FALSE)</f>
        <v>Qatar</v>
      </c>
      <c r="K17" s="23">
        <f>L17+M17+N17</f>
        <v>0</v>
      </c>
      <c r="L17" s="23">
        <f>VLOOKUP(3,AA14:AK17,3,FALSE)</f>
        <v>0</v>
      </c>
      <c r="M17" s="23">
        <f>VLOOKUP(3,AA14:AK17,4,FALSE)</f>
        <v>0</v>
      </c>
      <c r="N17" s="23">
        <f>VLOOKUP(3,AA14:AK17,5,FALSE)</f>
        <v>0</v>
      </c>
      <c r="O17" s="23" t="str">
        <f>VLOOKUP(3,AA14:AK17,6,FALSE) &amp; " - " &amp; VLOOKUP(3,AA14:AK17,7,FALSE)</f>
        <v>0 - 0</v>
      </c>
      <c r="P17" s="34">
        <f>L17*3+M17</f>
        <v>0</v>
      </c>
      <c r="R17" s="125">
        <f>DATE(2026,6,14)+TIME(9,0,0)+gmt_delta</f>
        <v>46187.625</v>
      </c>
      <c r="S17" s="127" t="str">
        <f t="shared" si="1"/>
        <v/>
      </c>
      <c r="T17" s="127" t="str">
        <f t="shared" si="2"/>
        <v/>
      </c>
      <c r="U17" s="126">
        <f t="shared" si="8"/>
        <v>0</v>
      </c>
      <c r="V17" s="125">
        <f t="shared" si="3"/>
        <v>0</v>
      </c>
      <c r="W17" s="125">
        <f t="shared" si="4"/>
        <v>0</v>
      </c>
      <c r="X17" s="125">
        <f t="shared" si="5"/>
        <v>0</v>
      </c>
      <c r="Y17" s="125" t="str">
        <f t="shared" si="6"/>
        <v/>
      </c>
      <c r="AA17" s="125">
        <f>COUNTIF(AN14:AN17,CONCATENATE("&gt;=",AN17))</f>
        <v>1</v>
      </c>
      <c r="AB17" s="126" t="str">
        <f>VLOOKUP("Switzerland",T,lang,FALSE)</f>
        <v>Switzerland</v>
      </c>
      <c r="AC17" s="125">
        <f>COUNTIF($S$7:$T$78,"=" &amp; AB17 &amp; "_win")</f>
        <v>0</v>
      </c>
      <c r="AD17" s="125">
        <f>COUNTIF($S$7:$T$78,"=" &amp; AB17 &amp; "_draw")</f>
        <v>0</v>
      </c>
      <c r="AE17" s="125">
        <f>COUNTIF($S$7:$T$78,"=" &amp; AB17 &amp; "_lose")</f>
        <v>0</v>
      </c>
      <c r="AF17" s="125">
        <f>SUMIF($E$7:$E$78,$AB17,$F$7:$F$78) + SUMIF($H$7:$H$78,$AB17,$G$7:$G$78)</f>
        <v>0</v>
      </c>
      <c r="AG17" s="125">
        <f>SUMIF($E$7:$E$78,$AB17,$G$7:$G$78) + SUMIF($H$7:$H$78,$AB17,$F$7:$F$78)</f>
        <v>0</v>
      </c>
      <c r="AI17" s="125">
        <f>AF17-AG17</f>
        <v>0</v>
      </c>
      <c r="AJ17" s="125">
        <f>AI17-AI18</f>
        <v>0</v>
      </c>
      <c r="AK17" s="125">
        <f>AC17*3+AD17</f>
        <v>0</v>
      </c>
      <c r="AL17" s="125">
        <f>AK17/AK18*10000+AW17*1000+AJ17/AJ18*100+AF17/$AF$12*10+IF(AM17=0,ROW(),AM17)/2000000</f>
        <v>8.2470000000000004E-4</v>
      </c>
      <c r="AM17" s="125">
        <f>VLOOKUP(AB17,db_fifarank,2,FALSE)</f>
        <v>1649.4</v>
      </c>
      <c r="AN17" s="126">
        <f>AL17/AL18</f>
        <v>8.2402043035108958E-4</v>
      </c>
      <c r="AP17" s="125" cm="1">
        <f t="array" ref="AP17">SUMPRODUCT(($S$7:$S$78=AB17&amp;"_win")*($U$7:$U$78))+SUMPRODUCT(($T$7:$T$78=AB17&amp;"_win")*($U$7:$U$78))</f>
        <v>0</v>
      </c>
      <c r="AQ17" s="125" cm="1">
        <f t="array" ref="AQ17">SUMPRODUCT(($S$7:$S$78=AB17&amp;"_draw")*($U$7:$U$78))+SUMPRODUCT(($T$7:$T$78=AB17&amp;"_draw")*($U$7:$U$78))</f>
        <v>0</v>
      </c>
      <c r="AR17" s="125" cm="1">
        <f t="array" ref="AR17">SUMPRODUCT(($E$7:$E$78=AB17)*($U$7:$U$78)*($F$7:$F$78))+SUMPRODUCT(($H$7:$H$78=AB17)*($U$7:$U$78)*($G$7:$G$78))</f>
        <v>0</v>
      </c>
      <c r="AS17" s="125" cm="1">
        <f t="array" ref="AS17">SUMPRODUCT(($E$7:$E$78=AB17)*($U$7:$U$78)*($G$7:$G$78))+SUMPRODUCT(($H$7:$H$78=AB17)*($U$7:$U$78)*($F$7:$F$78))</f>
        <v>0</v>
      </c>
      <c r="AT17" s="125">
        <f>AR17-AS17</f>
        <v>0</v>
      </c>
      <c r="AU17" s="125">
        <f>AT17-MIN(AT14:AT17)</f>
        <v>0</v>
      </c>
      <c r="AV17" s="125">
        <f>AP17/AP18*1000+AQ17/AQ18*100+AU17/AU18*10+AR17/AR18</f>
        <v>0</v>
      </c>
      <c r="AW17" s="125">
        <f>AV17/AV18</f>
        <v>0</v>
      </c>
      <c r="AY17" s="21" t="str" cm="1">
        <f t="array" ref="AY17">INDEX(T,24+MONTH(BD17),lang) &amp; " " &amp; DAY(BD17) &amp; ", " &amp; YEAR(BD17) &amp; "   " &amp; (IF(HOUR(BD17)&lt;10,0,"")&amp;HOUR(BD17)) &amp; ":" &amp;  (IF(MINUTE(BD17)&lt;10,0,"")&amp;MINUTE(BD17))</f>
        <v>Jun 29, 2026   02:00</v>
      </c>
      <c r="AZ17" s="21"/>
      <c r="BA17" s="21"/>
      <c r="BB17" s="21"/>
      <c r="BC17" s="28"/>
      <c r="BD17" s="116">
        <f>DATE(2026,6,28)+TIME(20,0,0)+gmt_delta</f>
        <v>46202.083333333336</v>
      </c>
      <c r="BE17" s="116"/>
      <c r="BF17" s="21"/>
      <c r="BG17" s="21"/>
      <c r="BH17" s="21"/>
      <c r="BI17" s="21"/>
      <c r="BJ17" s="21"/>
      <c r="BK17" s="118"/>
      <c r="BL17" s="119"/>
      <c r="BM17" s="131"/>
      <c r="BN17" s="26" t="str">
        <f>IF(BK20&gt;BK21,BG20,IF(BK20&lt;BK21,BG21,""))</f>
        <v/>
      </c>
      <c r="BO17" s="62"/>
      <c r="BP17" s="64"/>
      <c r="BQ17" s="27"/>
      <c r="BR17" s="117">
        <f>BO17*1000+BP17*10+BQ17</f>
        <v>0</v>
      </c>
      <c r="BS17" s="121"/>
      <c r="BT17" s="21"/>
      <c r="BU17" s="21"/>
      <c r="BV17" s="21"/>
      <c r="BW17" s="21"/>
    </row>
    <row r="18" spans="1:83" x14ac:dyDescent="0.25">
      <c r="A18" s="16">
        <v>12</v>
      </c>
      <c r="B18" s="17" t="str" cm="1">
        <f t="array" ref="B18">INDEX(T,18+INT(MOD(R18-1,7)),lang)</f>
        <v>Sun</v>
      </c>
      <c r="C18" s="18" t="str" cm="1">
        <f t="array" ref="C18">INDEX(T,24+MONTH(R18),lang) &amp; " " &amp; DAY(R18) &amp; ", " &amp; YEAR(R18)</f>
        <v>Jun 14, 2026</v>
      </c>
      <c r="D18" s="124">
        <f t="shared" si="7"/>
        <v>0.875</v>
      </c>
      <c r="E18" s="78" t="str">
        <f>AB40</f>
        <v>Sweden</v>
      </c>
      <c r="F18" s="19"/>
      <c r="G18" s="20"/>
      <c r="H18" s="80" t="str">
        <f>AB41</f>
        <v>Tunisia</v>
      </c>
      <c r="J18" s="35" t="str">
        <f>VLOOKUP(4,AA14:AK17,2,FALSE)</f>
        <v>Bosnia and Herzegovina</v>
      </c>
      <c r="K18" s="36">
        <f>L18+M18+N18</f>
        <v>0</v>
      </c>
      <c r="L18" s="36">
        <f>VLOOKUP(4,AA14:AK17,3,FALSE)</f>
        <v>0</v>
      </c>
      <c r="M18" s="36">
        <f>VLOOKUP(4,AA14:AK17,4,FALSE)</f>
        <v>0</v>
      </c>
      <c r="N18" s="36">
        <f>VLOOKUP(4,AA14:AK17,5,FALSE)</f>
        <v>0</v>
      </c>
      <c r="O18" s="36" t="str">
        <f>VLOOKUP(4,AA14:AK17,6,FALSE) &amp; " - " &amp; VLOOKUP(4,AA14:AK17,7,FALSE)</f>
        <v>0 - 0</v>
      </c>
      <c r="P18" s="37">
        <f>L18*3+M18</f>
        <v>0</v>
      </c>
      <c r="R18" s="125">
        <f>DATE(2026,6,14)+TIME(15,0,0)+gmt_delta</f>
        <v>46187.875</v>
      </c>
      <c r="S18" s="127" t="str">
        <f t="shared" si="1"/>
        <v/>
      </c>
      <c r="T18" s="127" t="str">
        <f t="shared" si="2"/>
        <v/>
      </c>
      <c r="U18" s="126">
        <f t="shared" si="8"/>
        <v>0</v>
      </c>
      <c r="V18" s="125">
        <f t="shared" si="3"/>
        <v>0</v>
      </c>
      <c r="W18" s="125">
        <f t="shared" si="4"/>
        <v>0</v>
      </c>
      <c r="X18" s="125">
        <f t="shared" si="5"/>
        <v>0</v>
      </c>
      <c r="Y18" s="125" t="str">
        <f t="shared" si="6"/>
        <v/>
      </c>
      <c r="AC18" s="125">
        <f t="shared" ref="AC18:AE18" si="10">MAX(AC14:AC17)-MIN(AC14:AC17)+1</f>
        <v>1</v>
      </c>
      <c r="AD18" s="125">
        <f t="shared" si="10"/>
        <v>1</v>
      </c>
      <c r="AE18" s="125">
        <f t="shared" si="10"/>
        <v>1</v>
      </c>
      <c r="AF18" s="125">
        <f>MAX(AF14:AF17)+1</f>
        <v>1</v>
      </c>
      <c r="AI18" s="125">
        <f>MIN(AI14:AI17)</f>
        <v>0</v>
      </c>
      <c r="AJ18" s="125">
        <f>MAX(AJ14:AJ17)+1</f>
        <v>1</v>
      </c>
      <c r="AK18" s="125">
        <f>MAX(AK14:AK17)+1</f>
        <v>1</v>
      </c>
      <c r="AL18" s="125">
        <f>MAX(AL14:AL17)+1</f>
        <v>1.0008246999999999</v>
      </c>
      <c r="AP18" s="125">
        <f>MAX(AP14:AP17)-MIN(AP14:AP17)+1</f>
        <v>1</v>
      </c>
      <c r="AQ18" s="125">
        <f>MAX(AQ14:AQ17)-MIN(AQ14:AQ17)+1</f>
        <v>1</v>
      </c>
      <c r="AR18" s="125">
        <f>MAX(AR14:AR17)-MIN(AR14:AR17)+1</f>
        <v>1</v>
      </c>
      <c r="AS18" s="125">
        <f>MAX(AS14:AS17)-MIN(AS14:AS17)+1</f>
        <v>1</v>
      </c>
      <c r="AU18" s="125">
        <f>MAX(AU14:AU17)-MIN(AU14:AU17)+1</f>
        <v>1</v>
      </c>
      <c r="AV18" s="125">
        <f>MAX(AV14:AV17)+1</f>
        <v>1</v>
      </c>
      <c r="AY18" s="130">
        <v>73</v>
      </c>
      <c r="AZ18" s="24" t="str">
        <f>AO9</f>
        <v>2A</v>
      </c>
      <c r="BA18" s="61"/>
      <c r="BB18" s="63"/>
      <c r="BC18" s="25"/>
      <c r="BD18" s="116">
        <f>BA18*1000+BB18*10+BC18</f>
        <v>0</v>
      </c>
      <c r="BE18" s="116"/>
      <c r="BF18" s="21"/>
      <c r="BG18" s="21"/>
      <c r="BH18" s="21"/>
      <c r="BI18" s="21"/>
      <c r="BJ18" s="21"/>
      <c r="BK18" s="118"/>
      <c r="BL18" s="116"/>
      <c r="BM18" s="21"/>
      <c r="BN18" s="21"/>
      <c r="BO18" s="21"/>
      <c r="BP18" s="21"/>
      <c r="BQ18" s="21"/>
      <c r="BR18" s="118"/>
      <c r="BS18" s="116"/>
      <c r="BT18" s="21"/>
      <c r="BU18" s="21"/>
      <c r="BV18" s="21"/>
      <c r="BW18" s="21"/>
    </row>
    <row r="19" spans="1:83" x14ac:dyDescent="0.25">
      <c r="A19" s="16">
        <v>13</v>
      </c>
      <c r="B19" s="17" t="str" cm="1">
        <f t="array" ref="B19">INDEX(T,18+INT(MOD(R19-1,7)),lang)</f>
        <v>Mon</v>
      </c>
      <c r="C19" s="18" t="str" cm="1">
        <f t="array" ref="C19">INDEX(T,24+MONTH(R19),lang) &amp; " " &amp; DAY(R19) &amp; ", " &amp; YEAR(R19)</f>
        <v>Jun 15, 2026</v>
      </c>
      <c r="D19" s="124">
        <f t="shared" si="7"/>
        <v>0.70833333333333337</v>
      </c>
      <c r="E19" s="78" t="str">
        <f>AB52</f>
        <v>Saudi Arabia</v>
      </c>
      <c r="F19" s="19"/>
      <c r="G19" s="20"/>
      <c r="H19" s="80" t="str">
        <f>AB53</f>
        <v>Uruguay</v>
      </c>
      <c r="R19" s="125">
        <f>DATE(2026,6,15)+TIME(11,0,0)+gmt_delta</f>
        <v>46188.708333333336</v>
      </c>
      <c r="S19" s="127" t="str">
        <f t="shared" si="1"/>
        <v/>
      </c>
      <c r="T19" s="127" t="str">
        <f t="shared" si="2"/>
        <v/>
      </c>
      <c r="U19" s="126">
        <f t="shared" si="8"/>
        <v>0</v>
      </c>
      <c r="V19" s="125">
        <f t="shared" si="3"/>
        <v>0</v>
      </c>
      <c r="W19" s="125">
        <f t="shared" si="4"/>
        <v>0</v>
      </c>
      <c r="X19" s="125">
        <f t="shared" si="5"/>
        <v>0</v>
      </c>
      <c r="Y19" s="125" t="str">
        <f t="shared" si="6"/>
        <v/>
      </c>
      <c r="AY19" s="131"/>
      <c r="AZ19" s="26" t="str">
        <f>AO15</f>
        <v>2B</v>
      </c>
      <c r="BA19" s="62"/>
      <c r="BB19" s="64"/>
      <c r="BC19" s="27"/>
      <c r="BD19" s="117">
        <f>BA19*1000+BB19*10+BC19</f>
        <v>0</v>
      </c>
      <c r="BE19" s="116"/>
      <c r="BF19" s="21" t="str" cm="1">
        <f t="array" ref="BF19">INDEX(T,24+MONTH(BK19),lang) &amp; " " &amp; DAY(BK19) &amp; ", " &amp; YEAR(BK19) &amp; "   " &amp; (IF(HOUR(BK19)&lt;10,0,"")&amp;HOUR(BK19)) &amp; ":" &amp;  (IF(MINUTE(BK19)&lt;10,0,"")&amp;MINUTE(BK19))</f>
        <v>Jul 4, 2026   17:00</v>
      </c>
      <c r="BG19" s="21"/>
      <c r="BH19" s="21"/>
      <c r="BI19" s="21"/>
      <c r="BJ19" s="28"/>
      <c r="BK19" s="118">
        <f>DATE(2026,7,4)+TIME(11,0,0)+gmt_delta</f>
        <v>46207.708333333336</v>
      </c>
      <c r="BL19" s="116"/>
      <c r="BM19" s="21"/>
      <c r="BN19" s="21"/>
      <c r="BO19" s="21"/>
      <c r="BP19" s="21"/>
      <c r="BQ19" s="21"/>
      <c r="BR19" s="118"/>
      <c r="BS19" s="116"/>
      <c r="BT19" s="21"/>
      <c r="BU19" s="21"/>
      <c r="BV19" s="21"/>
      <c r="BW19" s="21"/>
      <c r="BX19" s="21"/>
      <c r="BZ19" s="116"/>
      <c r="CA19" s="21"/>
      <c r="CB19" s="21"/>
      <c r="CC19" s="21"/>
      <c r="CD19" s="21"/>
      <c r="CE19" s="21"/>
    </row>
    <row r="20" spans="1:83" x14ac:dyDescent="0.25">
      <c r="A20" s="16">
        <v>14</v>
      </c>
      <c r="B20" s="17" t="str" cm="1">
        <f t="array" ref="B20">INDEX(T,18+INT(MOD(R20-1,7)),lang)</f>
        <v>Mon</v>
      </c>
      <c r="C20" s="18" t="str" cm="1">
        <f t="array" ref="C20">INDEX(T,24+MONTH(R20),lang) &amp; " " &amp; DAY(R20) &amp; ", " &amp; YEAR(R20)</f>
        <v>Jun 15, 2026</v>
      </c>
      <c r="D20" s="124">
        <f t="shared" si="7"/>
        <v>0.95833333333333337</v>
      </c>
      <c r="E20" s="78" t="str">
        <f>AB50</f>
        <v>Spain</v>
      </c>
      <c r="F20" s="19"/>
      <c r="G20" s="20"/>
      <c r="H20" s="80" t="str">
        <f>AB51</f>
        <v>Cape Verde</v>
      </c>
      <c r="J20" s="38" t="str" cm="1">
        <f t="array" ref="J20">INDEX(T,9,lang) &amp; " " &amp; "C"</f>
        <v>Group C</v>
      </c>
      <c r="K20" s="94" t="str" cm="1">
        <f t="array" ref="K20">INDEX(T,10,lang)</f>
        <v>PL</v>
      </c>
      <c r="L20" s="94" t="str" cm="1">
        <f t="array" ref="L20">INDEX(T,11,lang)</f>
        <v>W</v>
      </c>
      <c r="M20" s="94" t="str" cm="1">
        <f t="array" ref="M20">INDEX(T,12,lang)</f>
        <v>DRAW</v>
      </c>
      <c r="N20" s="94" t="str" cm="1">
        <f t="array" ref="N20">INDEX(T,13,lang)</f>
        <v>L</v>
      </c>
      <c r="O20" s="94" t="str" cm="1">
        <f t="array" ref="O20">INDEX(T,14,lang)</f>
        <v>GF - GA</v>
      </c>
      <c r="P20" s="95" t="str" cm="1">
        <f t="array" ref="P20">INDEX(T,15,lang)</f>
        <v>PNT</v>
      </c>
      <c r="R20" s="125">
        <f>DATE(2026,6,15)+TIME(17,0,0)+gmt_delta</f>
        <v>46188.958333333336</v>
      </c>
      <c r="S20" s="127" t="str">
        <f t="shared" si="1"/>
        <v/>
      </c>
      <c r="T20" s="127" t="str">
        <f t="shared" si="2"/>
        <v/>
      </c>
      <c r="U20" s="126">
        <f t="shared" si="8"/>
        <v>0</v>
      </c>
      <c r="V20" s="125">
        <f t="shared" si="3"/>
        <v>0</v>
      </c>
      <c r="W20" s="125">
        <f t="shared" si="4"/>
        <v>0</v>
      </c>
      <c r="X20" s="125">
        <f t="shared" si="5"/>
        <v>0</v>
      </c>
      <c r="Y20" s="125" t="str">
        <f t="shared" si="6"/>
        <v/>
      </c>
      <c r="AA20" s="125">
        <f>COUNTIF(AN20:AN23,CONCATENATE("&gt;=",AN20))</f>
        <v>1</v>
      </c>
      <c r="AB20" s="126" t="str">
        <f>VLOOKUP("Brazil",T,lang,FALSE)</f>
        <v>Brazil</v>
      </c>
      <c r="AC20" s="125">
        <f>COUNTIF($S$7:$T$78,"=" &amp; AB20 &amp; "_win")</f>
        <v>0</v>
      </c>
      <c r="AD20" s="125">
        <f>COUNTIF($S$7:$T$78,"=" &amp; AB20 &amp; "_draw")</f>
        <v>0</v>
      </c>
      <c r="AE20" s="125">
        <f>COUNTIF($S$7:$T$78,"=" &amp; AB20 &amp; "_lose")</f>
        <v>0</v>
      </c>
      <c r="AF20" s="125">
        <f>SUMIF($E$7:$E$78,$AB20,$F$7:$F$78) + SUMIF($H$7:$H$78,$AB20,$G$7:$G$78)</f>
        <v>0</v>
      </c>
      <c r="AG20" s="125">
        <f>SUMIF($E$7:$E$78,$AB20,$G$7:$G$78) + SUMIF($H$7:$H$78,$AB20,$F$7:$F$78)</f>
        <v>0</v>
      </c>
      <c r="AI20" s="125">
        <f>AF20-AG20</f>
        <v>0</v>
      </c>
      <c r="AJ20" s="125">
        <f>AI20-AI24</f>
        <v>0</v>
      </c>
      <c r="AK20" s="125">
        <f>AC20*3+AD20</f>
        <v>0</v>
      </c>
      <c r="AL20" s="125">
        <f>AK20/AK24*10000+AW20*1000+AJ20/AJ24*100+AF20/AF24*10+IF(AM20=0,ROW(),AM20)/2000000</f>
        <v>8.8058000000000006E-4</v>
      </c>
      <c r="AM20" s="125">
        <f>VLOOKUP(AB20,db_fifarank,2,FALSE)</f>
        <v>1761.16</v>
      </c>
      <c r="AN20" s="126">
        <f>AL20/AL24</f>
        <v>8.7980526108319542E-4</v>
      </c>
      <c r="AO20" s="126" t="str">
        <f>IF(SUM(AC20:AE23)=12,J21,"1C")</f>
        <v>1C</v>
      </c>
      <c r="AP20" s="125" cm="1">
        <f t="array" ref="AP20">SUMPRODUCT(($S$7:$S$78=AB20&amp;"_win")*($U$7:$U$78))+SUMPRODUCT(($T$7:$T$78=AB20&amp;"_win")*($U$7:$U$78))</f>
        <v>0</v>
      </c>
      <c r="AQ20" s="125" cm="1">
        <f t="array" ref="AQ20">SUMPRODUCT(($S$7:$S$78=AB20&amp;"_draw")*($U$7:$U$78))+SUMPRODUCT(($T$7:$T$78=AB20&amp;"_draw")*($U$7:$U$78))</f>
        <v>0</v>
      </c>
      <c r="AR20" s="125" cm="1">
        <f t="array" ref="AR20">SUMPRODUCT(($E$7:$E$78=AB20)*($U$7:$U$78)*($F$7:$F$78))+SUMPRODUCT(($H$7:$H$78=AB20)*($U$7:$U$78)*($G$7:$G$78))</f>
        <v>0</v>
      </c>
      <c r="AS20" s="125" cm="1">
        <f t="array" ref="AS20">SUMPRODUCT(($E$7:$E$78=AB20)*($U$7:$U$78)*($G$7:$G$78))+SUMPRODUCT(($H$7:$H$78=AB20)*($U$7:$U$78)*($F$7:$F$78))</f>
        <v>0</v>
      </c>
      <c r="AT20" s="125">
        <f>AR20-AS20</f>
        <v>0</v>
      </c>
      <c r="AU20" s="125">
        <f>AT20-MIN(AT20:AT23)</f>
        <v>0</v>
      </c>
      <c r="AV20" s="125">
        <f>AP20/AP24*1000+AQ20/AQ24*100+AU20/AU24*10+AR20/AR24</f>
        <v>0</v>
      </c>
      <c r="AW20" s="125">
        <f>AV20/AV24</f>
        <v>0</v>
      </c>
      <c r="AY20" s="21"/>
      <c r="AZ20" s="21"/>
      <c r="BA20" s="21"/>
      <c r="BB20" s="21"/>
      <c r="BC20" s="21"/>
      <c r="BD20" s="118"/>
      <c r="BE20" s="116"/>
      <c r="BF20" s="130">
        <v>90</v>
      </c>
      <c r="BG20" s="112" t="str">
        <f>IF(BD18&gt;BD19,AZ18,IF(BD18&lt;BD19,AZ19,""))</f>
        <v/>
      </c>
      <c r="BH20" s="61"/>
      <c r="BI20" s="63"/>
      <c r="BJ20" s="25"/>
      <c r="BK20" s="120">
        <f>BH20*1000+BI20*10+BJ20</f>
        <v>0</v>
      </c>
      <c r="BL20" s="116"/>
      <c r="BM20" s="21"/>
      <c r="BN20" s="21"/>
      <c r="BO20" s="21"/>
      <c r="BP20" s="21"/>
      <c r="BQ20" s="21"/>
      <c r="BR20" s="118"/>
      <c r="BS20" s="116"/>
      <c r="BT20" s="21"/>
      <c r="BU20" s="21"/>
      <c r="BV20" s="21"/>
      <c r="BW20" s="21"/>
      <c r="BX20" s="21"/>
      <c r="BZ20" s="116"/>
      <c r="CA20" s="21"/>
      <c r="CB20" s="21"/>
      <c r="CC20" s="21"/>
      <c r="CD20" s="21"/>
      <c r="CE20" s="21"/>
    </row>
    <row r="21" spans="1:83" x14ac:dyDescent="0.25">
      <c r="A21" s="16">
        <v>15</v>
      </c>
      <c r="B21" s="17" t="str" cm="1">
        <f t="array" ref="B21">INDEX(T,18+INT(MOD(R21-1,7)),lang)</f>
        <v>Mon</v>
      </c>
      <c r="C21" s="18" t="str" cm="1">
        <f t="array" ref="C21">INDEX(T,24+MONTH(R21),lang) &amp; " " &amp; DAY(R21) &amp; ", " &amp; YEAR(R21)</f>
        <v>Jun 15, 2026</v>
      </c>
      <c r="D21" s="124">
        <f t="shared" si="7"/>
        <v>0.83333333333333337</v>
      </c>
      <c r="E21" s="78" t="str">
        <f>AB46</f>
        <v>Iran</v>
      </c>
      <c r="F21" s="19"/>
      <c r="G21" s="20"/>
      <c r="H21" s="80" t="str">
        <f>AB47</f>
        <v>New Zealand</v>
      </c>
      <c r="J21" s="30" t="str">
        <f>VLOOKUP(1,AA20:AK23,2,FALSE)</f>
        <v>Brazil</v>
      </c>
      <c r="K21" s="31">
        <f>L21+M21+N21</f>
        <v>0</v>
      </c>
      <c r="L21" s="31">
        <f>VLOOKUP(1,AA20:AK23,3,FALSE)</f>
        <v>0</v>
      </c>
      <c r="M21" s="31">
        <f>VLOOKUP(1,AA20:AK23,4,FALSE)</f>
        <v>0</v>
      </c>
      <c r="N21" s="31">
        <f>VLOOKUP(1,AA20:AK23,5,FALSE)</f>
        <v>0</v>
      </c>
      <c r="O21" s="31" t="str">
        <f>VLOOKUP(1,AA20:AK23,6,FALSE) &amp; " - " &amp; VLOOKUP(1,AA20:AK23,7,FALSE)</f>
        <v>0 - 0</v>
      </c>
      <c r="P21" s="32">
        <f>L21*3+M21</f>
        <v>0</v>
      </c>
      <c r="R21" s="125">
        <f>DATE(2026,6,15)+TIME(14,0,0)+gmt_delta</f>
        <v>46188.833333333336</v>
      </c>
      <c r="S21" s="127" t="str">
        <f t="shared" si="1"/>
        <v/>
      </c>
      <c r="T21" s="127" t="str">
        <f t="shared" si="2"/>
        <v/>
      </c>
      <c r="U21" s="126">
        <f t="shared" si="8"/>
        <v>0</v>
      </c>
      <c r="V21" s="125">
        <f t="shared" si="3"/>
        <v>0</v>
      </c>
      <c r="W21" s="125">
        <f t="shared" si="4"/>
        <v>0</v>
      </c>
      <c r="X21" s="125">
        <f t="shared" si="5"/>
        <v>0</v>
      </c>
      <c r="Y21" s="125" t="str">
        <f t="shared" si="6"/>
        <v/>
      </c>
      <c r="AA21" s="125">
        <f>COUNTIF(AN20:AN23,CONCATENATE("&gt;=",AN21))</f>
        <v>2</v>
      </c>
      <c r="AB21" s="126" t="str">
        <f>VLOOKUP("Morocco",T,lang,FALSE)</f>
        <v>Morocco</v>
      </c>
      <c r="AC21" s="125">
        <f>COUNTIF($S$7:$T$78,"=" &amp; AB21 &amp; "_win")</f>
        <v>0</v>
      </c>
      <c r="AD21" s="125">
        <f>COUNTIF($S$7:$T$78,"=" &amp; AB21 &amp; "_draw")</f>
        <v>0</v>
      </c>
      <c r="AE21" s="125">
        <f>COUNTIF($S$7:$T$78,"=" &amp; AB21 &amp; "_lose")</f>
        <v>0</v>
      </c>
      <c r="AF21" s="125">
        <f>SUMIF($E$7:$E$78,$AB21,$F$7:$F$78) + SUMIF($H$7:$H$78,$AB21,$G$7:$G$78)</f>
        <v>0</v>
      </c>
      <c r="AG21" s="125">
        <f>SUMIF($E$7:$E$78,$AB21,$G$7:$G$78) + SUMIF($H$7:$H$78,$AB21,$F$7:$F$78)</f>
        <v>0</v>
      </c>
      <c r="AI21" s="125">
        <f>AF21-AG21</f>
        <v>0</v>
      </c>
      <c r="AJ21" s="125">
        <f>AI21-AI24</f>
        <v>0</v>
      </c>
      <c r="AK21" s="125">
        <f>AC21*3+AD21</f>
        <v>0</v>
      </c>
      <c r="AL21" s="125">
        <f>AK21/AK24*10000+AW21*1000+AJ21/AJ24*100+AF21/AF24*10+IF(AM21=0,ROW(),AM21)/2000000</f>
        <v>8.7793499999999994E-4</v>
      </c>
      <c r="AM21" s="125">
        <f>VLOOKUP(AB21,db_fifarank,2,FALSE)</f>
        <v>1755.87</v>
      </c>
      <c r="AN21" s="126">
        <f>AL21/AL24</f>
        <v>8.771625881681108E-4</v>
      </c>
      <c r="AO21" s="126" t="str">
        <f>IF(SUM(AC20:AE23)=12,J22,"2C")</f>
        <v>2C</v>
      </c>
      <c r="AP21" s="125" cm="1">
        <f t="array" ref="AP21">SUMPRODUCT(($S$7:$S$78=AB21&amp;"_win")*($U$7:$U$78))+SUMPRODUCT(($T$7:$T$78=AB21&amp;"_win")*($U$7:$U$78))</f>
        <v>0</v>
      </c>
      <c r="AQ21" s="125" cm="1">
        <f t="array" ref="AQ21">SUMPRODUCT(($S$7:$S$78=AB21&amp;"_draw")*($U$7:$U$78))+SUMPRODUCT(($T$7:$T$78=AB21&amp;"_draw")*($U$7:$U$78))</f>
        <v>0</v>
      </c>
      <c r="AR21" s="125" cm="1">
        <f t="array" ref="AR21">SUMPRODUCT(($E$7:$E$78=AB21)*($U$7:$U$78)*($F$7:$F$78))+SUMPRODUCT(($H$7:$H$78=AB21)*($U$7:$U$78)*($G$7:$G$78))</f>
        <v>0</v>
      </c>
      <c r="AS21" s="125" cm="1">
        <f t="array" ref="AS21">SUMPRODUCT(($E$7:$E$78=AB21)*($U$7:$U$78)*($G$7:$G$78))+SUMPRODUCT(($H$7:$H$78=AB21)*($U$7:$U$78)*($F$7:$F$78))</f>
        <v>0</v>
      </c>
      <c r="AT21" s="125">
        <f>AR21-AS21</f>
        <v>0</v>
      </c>
      <c r="AU21" s="125">
        <f>AT21-MIN(AT20:AT23)</f>
        <v>0</v>
      </c>
      <c r="AV21" s="125">
        <f>AP21/AP24*1000+AQ21/AQ24*100+AU21/AU24*10+AR21/AR24</f>
        <v>0</v>
      </c>
      <c r="AW21" s="125">
        <f>AV21/AV24</f>
        <v>0</v>
      </c>
      <c r="AY21" s="21" t="str" cm="1">
        <f t="array" ref="AY21">INDEX(T,24+MONTH(BD21),lang) &amp; " " &amp; DAY(BD21) &amp; ", " &amp; YEAR(BD21) &amp; "   " &amp; (IF(HOUR(BD21)&lt;10,0,"")&amp;HOUR(BD21)) &amp; ":" &amp;  (IF(MINUTE(BD21)&lt;10,0,"")&amp;MINUTE(BD21))</f>
        <v>Jun 29, 2026   20:00</v>
      </c>
      <c r="AZ21" s="21"/>
      <c r="BA21" s="21"/>
      <c r="BB21" s="21"/>
      <c r="BC21" s="28"/>
      <c r="BD21" s="118">
        <f>DATE(2026,6,29)+TIME(14,0,0)+gmt_delta</f>
        <v>46202.833333333336</v>
      </c>
      <c r="BE21" s="119"/>
      <c r="BF21" s="131"/>
      <c r="BG21" s="26" t="str">
        <f>IF(BD22&gt;BD23,AZ22,IF(BD22&lt;BD23,AZ23,""))</f>
        <v/>
      </c>
      <c r="BH21" s="62"/>
      <c r="BI21" s="64"/>
      <c r="BJ21" s="27"/>
      <c r="BK21" s="116">
        <f>BH21*1000+BI21*10+BJ21</f>
        <v>0</v>
      </c>
      <c r="BL21" s="116"/>
      <c r="BM21" s="21"/>
      <c r="BN21" s="21"/>
      <c r="BO21" s="21"/>
      <c r="BP21" s="21"/>
      <c r="BQ21" s="21"/>
      <c r="BR21" s="118"/>
      <c r="BS21" s="116"/>
      <c r="BT21" s="21"/>
      <c r="BU21" s="21"/>
      <c r="BV21" s="21"/>
      <c r="BW21" s="21"/>
      <c r="BX21" s="21"/>
      <c r="BZ21" s="116"/>
      <c r="CA21" s="21"/>
      <c r="CB21" s="21"/>
      <c r="CC21" s="21"/>
      <c r="CD21" s="21"/>
      <c r="CE21" s="21"/>
    </row>
    <row r="22" spans="1:83" x14ac:dyDescent="0.25">
      <c r="A22" s="16">
        <v>16</v>
      </c>
      <c r="B22" s="17" t="str" cm="1">
        <f t="array" ref="B22">INDEX(T,18+INT(MOD(R22-1,7)),lang)</f>
        <v>Tue</v>
      </c>
      <c r="C22" s="18" t="str" cm="1">
        <f t="array" ref="C22">INDEX(T,24+MONTH(R22),lang) &amp; " " &amp; DAY(R22) &amp; ", " &amp; YEAR(R22)</f>
        <v>Jun 16, 2026</v>
      </c>
      <c r="D22" s="124">
        <f t="shared" si="7"/>
        <v>8.3333333333333329E-2</v>
      </c>
      <c r="E22" s="78" t="str">
        <f>AB44</f>
        <v>Belgium</v>
      </c>
      <c r="F22" s="19"/>
      <c r="G22" s="20"/>
      <c r="H22" s="80" t="str">
        <f>AB45</f>
        <v>Egypt</v>
      </c>
      <c r="J22" s="33" t="str">
        <f>VLOOKUP(2,AA20:AK23,2,FALSE)</f>
        <v>Morocco</v>
      </c>
      <c r="K22" s="23">
        <f>L22+M22+N22</f>
        <v>0</v>
      </c>
      <c r="L22" s="23">
        <f>VLOOKUP(2,AA20:AK23,3,FALSE)</f>
        <v>0</v>
      </c>
      <c r="M22" s="23">
        <f>VLOOKUP(2,AA20:AK23,4,FALSE)</f>
        <v>0</v>
      </c>
      <c r="N22" s="23">
        <f>VLOOKUP(2,AA20:AK23,5,FALSE)</f>
        <v>0</v>
      </c>
      <c r="O22" s="23" t="str">
        <f>VLOOKUP(2,AA20:AK23,6,FALSE) &amp; " - " &amp; VLOOKUP(2,AA20:AK23,7,FALSE)</f>
        <v>0 - 0</v>
      </c>
      <c r="P22" s="34">
        <f>L22*3+M22</f>
        <v>0</v>
      </c>
      <c r="R22" s="125">
        <f>DATE(2026,6,15)+TIME(20,0,0)+gmt_delta</f>
        <v>46189.083333333336</v>
      </c>
      <c r="S22" s="127" t="str">
        <f t="shared" si="1"/>
        <v/>
      </c>
      <c r="T22" s="127" t="str">
        <f t="shared" si="2"/>
        <v/>
      </c>
      <c r="U22" s="126">
        <f t="shared" si="8"/>
        <v>0</v>
      </c>
      <c r="V22" s="125">
        <f t="shared" si="3"/>
        <v>0</v>
      </c>
      <c r="W22" s="125">
        <f t="shared" si="4"/>
        <v>0</v>
      </c>
      <c r="X22" s="125">
        <f t="shared" si="5"/>
        <v>0</v>
      </c>
      <c r="Y22" s="125" t="str">
        <f t="shared" si="6"/>
        <v/>
      </c>
      <c r="AA22" s="125">
        <f>COUNTIF(AN20:AN23,CONCATENATE("&gt;=",AN22))</f>
        <v>4</v>
      </c>
      <c r="AB22" s="126" t="str">
        <f>VLOOKUP("Haiti",T,lang,FALSE)</f>
        <v>Haiti</v>
      </c>
      <c r="AC22" s="125">
        <f>COUNTIF($S$7:$T$78,"=" &amp; AB22 &amp; "_win")</f>
        <v>0</v>
      </c>
      <c r="AD22" s="125">
        <f>COUNTIF($S$7:$T$78,"=" &amp; AB22 &amp; "_draw")</f>
        <v>0</v>
      </c>
      <c r="AE22" s="125">
        <f>COUNTIF($S$7:$T$78,"=" &amp; AB22 &amp; "_lose")</f>
        <v>0</v>
      </c>
      <c r="AF22" s="125">
        <f>SUMIF($E$7:$E$78,$AB22,$F$7:$F$78) + SUMIF($H$7:$H$78,$AB22,$G$7:$G$78)</f>
        <v>0</v>
      </c>
      <c r="AG22" s="125">
        <f>SUMIF($E$7:$E$78,$AB22,$G$7:$G$78) + SUMIF($H$7:$H$78,$AB22,$F$7:$F$78)</f>
        <v>0</v>
      </c>
      <c r="AI22" s="125">
        <f>AF22-AG22</f>
        <v>0</v>
      </c>
      <c r="AJ22" s="125">
        <f>AI22-AI24</f>
        <v>0</v>
      </c>
      <c r="AK22" s="125">
        <f>AC22*3+AD22</f>
        <v>0</v>
      </c>
      <c r="AL22" s="125">
        <f>AK22/AK24*10000+AW22*1000+AJ22/AJ24*100+AF22/AF24*10+IF(AM22=0,ROW(),AM22)/2000000</f>
        <v>6.4585499999999998E-4</v>
      </c>
      <c r="AM22" s="125">
        <f>VLOOKUP(AB22,db_fifarank,2,FALSE)</f>
        <v>1291.71</v>
      </c>
      <c r="AN22" s="126">
        <f>AL22/AL24</f>
        <v>6.4528677337310309E-4</v>
      </c>
      <c r="AP22" s="125" cm="1">
        <f t="array" ref="AP22">SUMPRODUCT(($S$7:$S$78=AB22&amp;"_win")*($U$7:$U$78))+SUMPRODUCT(($T$7:$T$78=AB22&amp;"_win")*($U$7:$U$78))</f>
        <v>0</v>
      </c>
      <c r="AQ22" s="125" cm="1">
        <f t="array" ref="AQ22">SUMPRODUCT(($S$7:$S$78=AB22&amp;"_draw")*($U$7:$U$78))+SUMPRODUCT(($T$7:$T$78=AB22&amp;"_draw")*($U$7:$U$78))</f>
        <v>0</v>
      </c>
      <c r="AR22" s="125" cm="1">
        <f t="array" ref="AR22">SUMPRODUCT(($E$7:$E$78=AB22)*($U$7:$U$78)*($F$7:$F$78))+SUMPRODUCT(($H$7:$H$78=AB22)*($U$7:$U$78)*($G$7:$G$78))</f>
        <v>0</v>
      </c>
      <c r="AS22" s="125" cm="1">
        <f t="array" ref="AS22">SUMPRODUCT(($E$7:$E$78=AB22)*($U$7:$U$78)*($G$7:$G$78))+SUMPRODUCT(($H$7:$H$78=AB22)*($U$7:$U$78)*($F$7:$F$78))</f>
        <v>0</v>
      </c>
      <c r="AT22" s="125">
        <f>AR22-AS22</f>
        <v>0</v>
      </c>
      <c r="AU22" s="125">
        <f>AT22-MIN(AT20:AT23)</f>
        <v>0</v>
      </c>
      <c r="AV22" s="125">
        <f>AP22/AP24*1000+AQ22/AQ24*100+AU22/AU24*10+AR22/AR24</f>
        <v>0</v>
      </c>
      <c r="AW22" s="125">
        <f>AV22/AV24</f>
        <v>0</v>
      </c>
      <c r="AY22" s="130">
        <v>75</v>
      </c>
      <c r="AZ22" s="24" t="str">
        <f>AO38</f>
        <v>1F</v>
      </c>
      <c r="BA22" s="61"/>
      <c r="BB22" s="63"/>
      <c r="BC22" s="25"/>
      <c r="BD22" s="120">
        <f>BA22*1000+BB22*10+BC22</f>
        <v>0</v>
      </c>
      <c r="BE22" s="116"/>
      <c r="BF22" s="21"/>
      <c r="BG22" s="21"/>
      <c r="BH22" s="21"/>
      <c r="BI22" s="21"/>
      <c r="BJ22" s="21"/>
      <c r="BK22" s="116"/>
      <c r="BL22" s="116"/>
      <c r="BM22" s="21"/>
      <c r="BN22" s="21"/>
      <c r="BO22" s="21"/>
      <c r="BP22" s="21"/>
      <c r="BQ22" s="21"/>
      <c r="BR22" s="118"/>
      <c r="BS22" s="116"/>
      <c r="BT22" s="21" t="str" cm="1">
        <f t="array" ref="BT22">INDEX(T,24+MONTH(BY22),lang) &amp; " " &amp; DAY(BY22) &amp; ", " &amp; YEAR(BY22) &amp; "   " &amp; (IF(HOUR(BY22)&lt;10,0,"")&amp;HOUR(BY22)) &amp; ":" &amp;  (IF(MINUTE(BY22)&lt;10,0,"")&amp;MINUTE(BY22))</f>
        <v>Jul 14, 2026   14:00</v>
      </c>
      <c r="BU22" s="21"/>
      <c r="BV22" s="21"/>
      <c r="BW22" s="21"/>
      <c r="BX22" s="28"/>
      <c r="BY22" s="115">
        <f>DATE(2026,7,14)+TIME(8,0,0)+gmt_delta</f>
        <v>46217.583333333336</v>
      </c>
    </row>
    <row r="23" spans="1:83" x14ac:dyDescent="0.25">
      <c r="A23" s="16">
        <v>17</v>
      </c>
      <c r="B23" s="17" t="str" cm="1">
        <f t="array" ref="B23">INDEX(T,18+INT(MOD(R23-1,7)),lang)</f>
        <v>Tue</v>
      </c>
      <c r="C23" s="18" t="str" cm="1">
        <f t="array" ref="C23">INDEX(T,24+MONTH(R23),lang) &amp; " " &amp; DAY(R23) &amp; ", " &amp; YEAR(R23)</f>
        <v>Jun 16, 2026</v>
      </c>
      <c r="D23" s="124">
        <f t="shared" si="7"/>
        <v>0.58333333333333337</v>
      </c>
      <c r="E23" s="78" t="str">
        <f>AB56</f>
        <v>France</v>
      </c>
      <c r="F23" s="19"/>
      <c r="G23" s="20"/>
      <c r="H23" s="80" t="str">
        <f>AB57</f>
        <v>Senegal</v>
      </c>
      <c r="J23" s="33" t="str">
        <f>VLOOKUP(3,AA20:AK23,2,FALSE)</f>
        <v>Scotland</v>
      </c>
      <c r="K23" s="23">
        <f>L23+M23+N23</f>
        <v>0</v>
      </c>
      <c r="L23" s="23">
        <f>VLOOKUP(3,AA20:AK23,3,FALSE)</f>
        <v>0</v>
      </c>
      <c r="M23" s="23">
        <f>VLOOKUP(3,AA20:AK23,4,FALSE)</f>
        <v>0</v>
      </c>
      <c r="N23" s="23">
        <f>VLOOKUP(3,AA20:AK23,5,FALSE)</f>
        <v>0</v>
      </c>
      <c r="O23" s="23" t="str">
        <f>VLOOKUP(3,AA20:AK23,6,FALSE) &amp; " - " &amp; VLOOKUP(3,AA20:AK23,7,FALSE)</f>
        <v>0 - 0</v>
      </c>
      <c r="P23" s="34">
        <f>L23*3+M23</f>
        <v>0</v>
      </c>
      <c r="R23" s="125">
        <f>DATE(2026,6,16)+TIME(8,0,0)+gmt_delta</f>
        <v>46189.583333333336</v>
      </c>
      <c r="S23" s="127" t="str">
        <f t="shared" si="1"/>
        <v/>
      </c>
      <c r="T23" s="127" t="str">
        <f t="shared" si="2"/>
        <v/>
      </c>
      <c r="U23" s="126">
        <f t="shared" si="8"/>
        <v>0</v>
      </c>
      <c r="V23" s="125">
        <f t="shared" si="3"/>
        <v>0</v>
      </c>
      <c r="W23" s="125">
        <f t="shared" si="4"/>
        <v>0</v>
      </c>
      <c r="X23" s="125">
        <f t="shared" si="5"/>
        <v>0</v>
      </c>
      <c r="Y23" s="125" t="str">
        <f t="shared" si="6"/>
        <v/>
      </c>
      <c r="AA23" s="125">
        <f>COUNTIF(AN20:AN23,CONCATENATE("&gt;=",AN23))</f>
        <v>3</v>
      </c>
      <c r="AB23" s="126" t="str">
        <f>VLOOKUP("Scotland",T,lang,FALSE)</f>
        <v>Scotland</v>
      </c>
      <c r="AC23" s="125">
        <f>COUNTIF($S$7:$T$78,"=" &amp; AB23 &amp; "_win")</f>
        <v>0</v>
      </c>
      <c r="AD23" s="125">
        <f>COUNTIF($S$7:$T$78,"=" &amp; AB23 &amp; "_draw")</f>
        <v>0</v>
      </c>
      <c r="AE23" s="125">
        <f>COUNTIF($S$7:$T$78,"=" &amp; AB23 &amp; "_lose")</f>
        <v>0</v>
      </c>
      <c r="AF23" s="125">
        <f>SUMIF($E$7:$E$78,$AB23,$F$7:$F$78) + SUMIF($H$7:$H$78,$AB23,$G$7:$G$78)</f>
        <v>0</v>
      </c>
      <c r="AG23" s="125">
        <f>SUMIF($E$7:$E$78,$AB23,$G$7:$G$78) + SUMIF($H$7:$H$78,$AB23,$F$7:$F$78)</f>
        <v>0</v>
      </c>
      <c r="AI23" s="125">
        <f>AF23-AG23</f>
        <v>0</v>
      </c>
      <c r="AJ23" s="125">
        <f>AI23-AI24</f>
        <v>0</v>
      </c>
      <c r="AK23" s="125">
        <f>AC23*3+AD23</f>
        <v>0</v>
      </c>
      <c r="AL23" s="125">
        <f>AK23/AK24*10000+AW23*1000+AJ23/AJ24*100+AF23/$AF$12*10+IF(AM23=0,ROW(),AM23)/2000000</f>
        <v>7.4917499999999993E-4</v>
      </c>
      <c r="AM23" s="125">
        <f>VLOOKUP(AB23,db_fifarank,2,FALSE)</f>
        <v>1498.35</v>
      </c>
      <c r="AN23" s="126">
        <f>AL23/AL24</f>
        <v>7.4851587189352792E-4</v>
      </c>
      <c r="AP23" s="125" cm="1">
        <f t="array" ref="AP23">SUMPRODUCT(($S$7:$S$78=AB23&amp;"_win")*($U$7:$U$78))+SUMPRODUCT(($T$7:$T$78=AB23&amp;"_win")*($U$7:$U$78))</f>
        <v>0</v>
      </c>
      <c r="AQ23" s="125" cm="1">
        <f t="array" ref="AQ23">SUMPRODUCT(($S$7:$S$78=AB23&amp;"_draw")*($U$7:$U$78))+SUMPRODUCT(($T$7:$T$78=AB23&amp;"_draw")*($U$7:$U$78))</f>
        <v>0</v>
      </c>
      <c r="AR23" s="125" cm="1">
        <f t="array" ref="AR23">SUMPRODUCT(($E$7:$E$78=AB23)*($U$7:$U$78)*($F$7:$F$78))+SUMPRODUCT(($H$7:$H$78=AB23)*($U$7:$U$78)*($G$7:$G$78))</f>
        <v>0</v>
      </c>
      <c r="AS23" s="125" cm="1">
        <f t="array" ref="AS23">SUMPRODUCT(($E$7:$E$78=AB23)*($U$7:$U$78)*($G$7:$G$78))+SUMPRODUCT(($H$7:$H$78=AB23)*($U$7:$U$78)*($F$7:$F$78))</f>
        <v>0</v>
      </c>
      <c r="AT23" s="125">
        <f>AR23-AS23</f>
        <v>0</v>
      </c>
      <c r="AU23" s="125">
        <f>AT23-MIN(AT20:AT23)</f>
        <v>0</v>
      </c>
      <c r="AV23" s="125">
        <f>AP23/AP24*1000+AQ23/AQ24*100+AU23/AU24*10+AR23/AR24</f>
        <v>0</v>
      </c>
      <c r="AW23" s="125">
        <f>AV23/AV24</f>
        <v>0</v>
      </c>
      <c r="AY23" s="131"/>
      <c r="AZ23" s="26" t="str">
        <f>AO21</f>
        <v>2C</v>
      </c>
      <c r="BA23" s="62"/>
      <c r="BB23" s="64"/>
      <c r="BC23" s="27"/>
      <c r="BD23" s="116">
        <f>BA23*1000+BB23*10+BC23</f>
        <v>0</v>
      </c>
      <c r="BE23" s="116"/>
      <c r="BF23" s="21"/>
      <c r="BG23" s="21"/>
      <c r="BH23" s="21"/>
      <c r="BI23" s="21"/>
      <c r="BJ23" s="21"/>
      <c r="BK23" s="116"/>
      <c r="BL23" s="116"/>
      <c r="BM23" s="21"/>
      <c r="BN23" s="21"/>
      <c r="BO23" s="21"/>
      <c r="BP23" s="21"/>
      <c r="BQ23" s="21"/>
      <c r="BR23" s="118"/>
      <c r="BS23" s="116"/>
      <c r="BT23" s="130">
        <v>101</v>
      </c>
      <c r="BU23" s="112" t="str">
        <f>IF(BR16&gt;BR17,BN16,IF(BR16&lt;BR17,BN17,""))</f>
        <v/>
      </c>
      <c r="BV23" s="61"/>
      <c r="BW23" s="63"/>
      <c r="BX23" s="25"/>
      <c r="BY23" s="116">
        <f>BV23*1000+BW23*10+BX23</f>
        <v>0</v>
      </c>
    </row>
    <row r="24" spans="1:83" x14ac:dyDescent="0.25">
      <c r="A24" s="16">
        <v>18</v>
      </c>
      <c r="B24" s="17" t="str" cm="1">
        <f t="array" ref="B24">INDEX(T,18+INT(MOD(R24-1,7)),lang)</f>
        <v>Tue</v>
      </c>
      <c r="C24" s="18" t="str" cm="1">
        <f t="array" ref="C24">INDEX(T,24+MONTH(R24),lang) &amp; " " &amp; DAY(R24) &amp; ", " &amp; YEAR(R24)</f>
        <v>Jun 16, 2026</v>
      </c>
      <c r="D24" s="124">
        <f t="shared" si="7"/>
        <v>0.70833333333333337</v>
      </c>
      <c r="E24" s="78" t="str">
        <f>AB58</f>
        <v>Iraq</v>
      </c>
      <c r="F24" s="19"/>
      <c r="G24" s="20"/>
      <c r="H24" s="80" t="str">
        <f>AB59</f>
        <v>Norway</v>
      </c>
      <c r="J24" s="35" t="str">
        <f>VLOOKUP(4,AA20:AK23,2,FALSE)</f>
        <v>Haiti</v>
      </c>
      <c r="K24" s="36">
        <f>L24+M24+N24</f>
        <v>0</v>
      </c>
      <c r="L24" s="36">
        <f>VLOOKUP(4,AA20:AK23,3,FALSE)</f>
        <v>0</v>
      </c>
      <c r="M24" s="36">
        <f>VLOOKUP(4,AA20:AK23,4,FALSE)</f>
        <v>0</v>
      </c>
      <c r="N24" s="36">
        <f>VLOOKUP(4,AA20:AK23,5,FALSE)</f>
        <v>0</v>
      </c>
      <c r="O24" s="36" t="str">
        <f>VLOOKUP(4,AA20:AK23,6,FALSE) &amp; " - " &amp; VLOOKUP(4,AA20:AK23,7,FALSE)</f>
        <v>0 - 0</v>
      </c>
      <c r="P24" s="37">
        <f>L24*3+M24</f>
        <v>0</v>
      </c>
      <c r="R24" s="125">
        <f>DATE(2026,6,16)+TIME(11,0,0)+gmt_delta</f>
        <v>46189.708333333336</v>
      </c>
      <c r="S24" s="127" t="str">
        <f t="shared" si="1"/>
        <v/>
      </c>
      <c r="T24" s="127" t="str">
        <f t="shared" si="2"/>
        <v/>
      </c>
      <c r="U24" s="126">
        <f t="shared" si="8"/>
        <v>0</v>
      </c>
      <c r="V24" s="125">
        <f t="shared" si="3"/>
        <v>0</v>
      </c>
      <c r="W24" s="125">
        <f t="shared" si="4"/>
        <v>0</v>
      </c>
      <c r="X24" s="125">
        <f t="shared" si="5"/>
        <v>0</v>
      </c>
      <c r="Y24" s="125" t="str">
        <f t="shared" si="6"/>
        <v/>
      </c>
      <c r="AC24" s="125">
        <f t="shared" ref="AC24:AE24" si="11">MAX(AC20:AC23)-MIN(AC20:AC23)+1</f>
        <v>1</v>
      </c>
      <c r="AD24" s="125">
        <f t="shared" si="11"/>
        <v>1</v>
      </c>
      <c r="AE24" s="125">
        <f t="shared" si="11"/>
        <v>1</v>
      </c>
      <c r="AF24" s="125">
        <f>MAX(AF20:AF23)+1</f>
        <v>1</v>
      </c>
      <c r="AI24" s="125">
        <f>MIN(AI20:AI23)</f>
        <v>0</v>
      </c>
      <c r="AJ24" s="125">
        <f>MAX(AJ20:AJ23)+1</f>
        <v>1</v>
      </c>
      <c r="AK24" s="125">
        <f>MAX(AK20:AK23)+1</f>
        <v>1</v>
      </c>
      <c r="AL24" s="125">
        <f>MAX(AL20:AL23)+1</f>
        <v>1.00088058</v>
      </c>
      <c r="AP24" s="125">
        <f>MAX(AP20:AP23)-MIN(AP20:AP23)+1</f>
        <v>1</v>
      </c>
      <c r="AQ24" s="125">
        <f>MAX(AQ20:AQ23)-MIN(AQ20:AQ23)+1</f>
        <v>1</v>
      </c>
      <c r="AR24" s="125">
        <f>MAX(AR20:AR23)-MIN(AR20:AR23)+1</f>
        <v>1</v>
      </c>
      <c r="AS24" s="125">
        <f>MAX(AS20:AS23)-MIN(AS20:AS23)+1</f>
        <v>1</v>
      </c>
      <c r="AU24" s="125">
        <f>MAX(AU20:AU23)-MIN(AU20:AU23)+1</f>
        <v>1</v>
      </c>
      <c r="AV24" s="125">
        <f>MAX(AV20:AV23)+1</f>
        <v>1</v>
      </c>
      <c r="AZ24" s="21"/>
      <c r="BA24" s="21"/>
      <c r="BB24" s="21"/>
      <c r="BC24" s="21"/>
      <c r="BD24" s="116"/>
      <c r="BE24" s="116"/>
      <c r="BF24" s="21"/>
      <c r="BG24" s="21"/>
      <c r="BH24" s="21"/>
      <c r="BI24" s="21"/>
      <c r="BJ24" s="21"/>
      <c r="BK24" s="116"/>
      <c r="BL24" s="116"/>
      <c r="BM24" s="21"/>
      <c r="BN24" s="21"/>
      <c r="BO24" s="21"/>
      <c r="BP24" s="21"/>
      <c r="BQ24" s="21"/>
      <c r="BR24" s="118"/>
      <c r="BS24" s="119"/>
      <c r="BT24" s="131"/>
      <c r="BU24" s="26" t="str">
        <f>IF(BR32&gt;BR33,BN32,IF(BR32&lt;BR33,BN33,""))</f>
        <v/>
      </c>
      <c r="BV24" s="62"/>
      <c r="BW24" s="64"/>
      <c r="BX24" s="27"/>
      <c r="BY24" s="117">
        <f>BV24*1000+BW24*10+BX24</f>
        <v>0</v>
      </c>
    </row>
    <row r="25" spans="1:83" x14ac:dyDescent="0.25">
      <c r="A25" s="16">
        <v>19</v>
      </c>
      <c r="B25" s="17" t="str" cm="1">
        <f t="array" ref="B25">INDEX(T,18+INT(MOD(R25-1,7)),lang)</f>
        <v>Tue</v>
      </c>
      <c r="C25" s="18" t="str" cm="1">
        <f t="array" ref="C25">INDEX(T,24+MONTH(R25),lang) &amp; " " &amp; DAY(R25) &amp; ", " &amp; YEAR(R25)</f>
        <v>Jun 16, 2026</v>
      </c>
      <c r="D25" s="124">
        <f t="shared" si="7"/>
        <v>0.83333333333333337</v>
      </c>
      <c r="E25" s="78" t="str">
        <f>AB62</f>
        <v>Argentina</v>
      </c>
      <c r="F25" s="19"/>
      <c r="G25" s="20"/>
      <c r="H25" s="80" t="str">
        <f>AB63</f>
        <v>Algeria</v>
      </c>
      <c r="R25" s="125">
        <f>DATE(2026,6,16)+TIME(14,0,0)+gmt_delta</f>
        <v>46189.833333333336</v>
      </c>
      <c r="S25" s="127" t="str">
        <f t="shared" si="1"/>
        <v/>
      </c>
      <c r="T25" s="127" t="str">
        <f t="shared" si="2"/>
        <v/>
      </c>
      <c r="U25" s="126">
        <f t="shared" si="8"/>
        <v>0</v>
      </c>
      <c r="V25" s="125">
        <f t="shared" si="3"/>
        <v>0</v>
      </c>
      <c r="W25" s="125">
        <f t="shared" si="4"/>
        <v>0</v>
      </c>
      <c r="X25" s="125">
        <f t="shared" si="5"/>
        <v>1</v>
      </c>
      <c r="Y25" s="125" t="str">
        <f t="shared" si="6"/>
        <v/>
      </c>
      <c r="AY25" s="21" t="str" cm="1">
        <f t="array" ref="AY25">INDEX(T,24+MONTH(BD25),lang) &amp; " " &amp; DAY(BD25) &amp; ", " &amp; YEAR(BD25) &amp; "   " &amp; (IF(HOUR(BD25)&lt;10,0,"")&amp;HOUR(BD25)) &amp; ":" &amp;  (IF(MINUTE(BD25)&lt;10,0,"")&amp;MINUTE(BD25))</f>
        <v>Jul 2, 2026   18:00</v>
      </c>
      <c r="AZ25" s="21"/>
      <c r="BA25" s="21"/>
      <c r="BB25" s="21"/>
      <c r="BC25" s="29"/>
      <c r="BD25" s="116">
        <f>DATE(2026,7,2)+TIME(12,0,0)+gmt_delta</f>
        <v>46205.75</v>
      </c>
      <c r="BE25" s="116"/>
      <c r="BF25" s="21"/>
      <c r="BG25" s="21"/>
      <c r="BH25" s="21"/>
      <c r="BI25" s="21"/>
      <c r="BJ25" s="21"/>
      <c r="BK25" s="116"/>
      <c r="BL25" s="116"/>
      <c r="BM25" s="21"/>
      <c r="BN25" s="21"/>
      <c r="BO25" s="21"/>
      <c r="BP25" s="21"/>
      <c r="BQ25" s="21"/>
      <c r="BR25" s="118"/>
      <c r="BS25" s="116"/>
      <c r="BT25" s="21"/>
      <c r="BU25" s="21"/>
      <c r="BV25" s="21"/>
      <c r="BW25" s="21"/>
      <c r="BX25" s="21"/>
      <c r="BY25" s="118"/>
      <c r="BZ25" s="116"/>
      <c r="CA25" s="21"/>
      <c r="CB25" s="21"/>
      <c r="CC25" s="21"/>
      <c r="CD25" s="21"/>
      <c r="CE25" s="21"/>
    </row>
    <row r="26" spans="1:83" x14ac:dyDescent="0.25">
      <c r="A26" s="16">
        <v>20</v>
      </c>
      <c r="B26" s="17" t="str" cm="1">
        <f t="array" ref="B26">INDEX(T,18+INT(MOD(R26-1,7)),lang)</f>
        <v>Tue</v>
      </c>
      <c r="C26" s="18" t="str" cm="1">
        <f t="array" ref="C26">INDEX(T,24+MONTH(R26),lang) &amp; " " &amp; DAY(R26) &amp; ", " &amp; YEAR(R26)</f>
        <v>Jun 16, 2026</v>
      </c>
      <c r="D26" s="124">
        <f t="shared" si="7"/>
        <v>0.95833333333333337</v>
      </c>
      <c r="E26" s="78" t="str">
        <f>AB64</f>
        <v>Austria</v>
      </c>
      <c r="F26" s="19"/>
      <c r="G26" s="20"/>
      <c r="H26" s="80" t="str">
        <f>AB65</f>
        <v>Jordan</v>
      </c>
      <c r="J26" s="38" t="str" cm="1">
        <f t="array" ref="J26">INDEX(T,9,lang) &amp; " " &amp; "D"</f>
        <v>Group D</v>
      </c>
      <c r="K26" s="94" t="str" cm="1">
        <f t="array" ref="K26">INDEX(T,10,lang)</f>
        <v>PL</v>
      </c>
      <c r="L26" s="94" t="str" cm="1">
        <f t="array" ref="L26">INDEX(T,11,lang)</f>
        <v>W</v>
      </c>
      <c r="M26" s="94" t="str" cm="1">
        <f t="array" ref="M26">INDEX(T,12,lang)</f>
        <v>DRAW</v>
      </c>
      <c r="N26" s="94" t="str" cm="1">
        <f t="array" ref="N26">INDEX(T,13,lang)</f>
        <v>L</v>
      </c>
      <c r="O26" s="94" t="str" cm="1">
        <f t="array" ref="O26">INDEX(T,14,lang)</f>
        <v>GF - GA</v>
      </c>
      <c r="P26" s="95" t="str" cm="1">
        <f t="array" ref="P26">INDEX(T,15,lang)</f>
        <v>PNT</v>
      </c>
      <c r="R26" s="125">
        <f>DATE(2026,6,16)+TIME(17,0,0)+gmt_delta</f>
        <v>46189.958333333336</v>
      </c>
      <c r="S26" s="127" t="str">
        <f t="shared" si="1"/>
        <v/>
      </c>
      <c r="T26" s="127" t="str">
        <f t="shared" si="2"/>
        <v/>
      </c>
      <c r="U26" s="126">
        <f t="shared" si="8"/>
        <v>0</v>
      </c>
      <c r="V26" s="125">
        <f t="shared" si="3"/>
        <v>0</v>
      </c>
      <c r="W26" s="125">
        <f t="shared" si="4"/>
        <v>0</v>
      </c>
      <c r="X26" s="125">
        <f t="shared" si="5"/>
        <v>0</v>
      </c>
      <c r="Y26" s="125" t="str">
        <f t="shared" si="6"/>
        <v/>
      </c>
      <c r="AA26" s="125">
        <f>COUNTIF(AN26:AN29,CONCATENATE("&gt;=",AN26))</f>
        <v>1</v>
      </c>
      <c r="AB26" s="126" t="str">
        <f>VLOOKUP("United States",T,lang,FALSE)</f>
        <v>United States</v>
      </c>
      <c r="AC26" s="125">
        <f>COUNTIF($S$7:$T$78,"=" &amp; AB26 &amp; "_win")</f>
        <v>0</v>
      </c>
      <c r="AD26" s="125">
        <f>COUNTIF($S$7:$T$78,"=" &amp; AB26 &amp; "_draw")</f>
        <v>0</v>
      </c>
      <c r="AE26" s="125">
        <f>COUNTIF($S$7:$T$78,"=" &amp; AB26 &amp; "_lose")</f>
        <v>0</v>
      </c>
      <c r="AF26" s="125">
        <f>SUMIF($E$7:$E$78,$AB26,$F$7:$F$78) + SUMIF($H$7:$H$78,$AB26,$G$7:$G$78)</f>
        <v>0</v>
      </c>
      <c r="AG26" s="125">
        <f>SUMIF($E$7:$E$78,$AB26,$G$7:$G$78) + SUMIF($H$7:$H$78,$AB26,$F$7:$F$78)</f>
        <v>0</v>
      </c>
      <c r="AI26" s="125">
        <f>AF26-AG26</f>
        <v>0</v>
      </c>
      <c r="AJ26" s="125">
        <f>AI26-AI30</f>
        <v>0</v>
      </c>
      <c r="AK26" s="125">
        <f>AC26*3+AD26</f>
        <v>0</v>
      </c>
      <c r="AL26" s="125">
        <f>AK26/AK30*10000+AW26*1000+AJ26/AJ30*100+AF26/AF30*10+IF(AM26=0,ROW(),AM26)/2000000</f>
        <v>8.3656500000000005E-4</v>
      </c>
      <c r="AM26" s="125">
        <f>VLOOKUP(AB26,db_fifarank,2,FALSE)</f>
        <v>1673.13</v>
      </c>
      <c r="AN26" s="126">
        <f>AL26/AL30</f>
        <v>8.3586574397389256E-4</v>
      </c>
      <c r="AO26" s="126" t="str">
        <f>IF(SUM(AC26:AE29)=12,J27,"1D")</f>
        <v>1D</v>
      </c>
      <c r="AP26" s="125" cm="1">
        <f t="array" ref="AP26">SUMPRODUCT(($S$7:$S$78=AB26&amp;"_win")*($U$7:$U$78))+SUMPRODUCT(($T$7:$T$78=AB26&amp;"_win")*($U$7:$U$78))</f>
        <v>0</v>
      </c>
      <c r="AQ26" s="125" cm="1">
        <f t="array" ref="AQ26">SUMPRODUCT(($S$7:$S$78=AB26&amp;"_draw")*($U$7:$U$78))+SUMPRODUCT(($T$7:$T$78=AB26&amp;"_draw")*($U$7:$U$78))</f>
        <v>0</v>
      </c>
      <c r="AR26" s="125" cm="1">
        <f t="array" ref="AR26">SUMPRODUCT(($E$7:$E$78=AB26)*($U$7:$U$78)*($F$7:$F$78))+SUMPRODUCT(($H$7:$H$78=AB26)*($U$7:$U$78)*($G$7:$G$78))</f>
        <v>0</v>
      </c>
      <c r="AS26" s="125" cm="1">
        <f t="array" ref="AS26">SUMPRODUCT(($E$7:$E$78=AB26)*($U$7:$U$78)*($G$7:$G$78))+SUMPRODUCT(($H$7:$H$78=AB26)*($U$7:$U$78)*($F$7:$F$78))</f>
        <v>0</v>
      </c>
      <c r="AT26" s="125">
        <f>AR26-AS26</f>
        <v>0</v>
      </c>
      <c r="AU26" s="125">
        <f>AT26-MIN(AT26:AT29)</f>
        <v>0</v>
      </c>
      <c r="AV26" s="125">
        <f>AP26/AP30*1000+AQ26/AQ30*100+AU26/AU30*10+AR26/AR30</f>
        <v>0</v>
      </c>
      <c r="AW26" s="125">
        <f>AV26/AV30</f>
        <v>0</v>
      </c>
      <c r="AY26" s="130">
        <v>83</v>
      </c>
      <c r="AZ26" s="24" t="str">
        <f>AO69</f>
        <v>2K</v>
      </c>
      <c r="BA26" s="61"/>
      <c r="BB26" s="63"/>
      <c r="BC26" s="25"/>
      <c r="BD26" s="116">
        <f>BA26*1000+BB26*10+BC26</f>
        <v>0</v>
      </c>
      <c r="BE26" s="116"/>
      <c r="BF26" s="21"/>
      <c r="BG26" s="21"/>
      <c r="BH26" s="21"/>
      <c r="BI26" s="21"/>
      <c r="BJ26" s="21"/>
      <c r="BK26" s="116"/>
      <c r="BL26" s="116"/>
      <c r="BM26" s="21"/>
      <c r="BN26" s="21"/>
      <c r="BO26" s="21"/>
      <c r="BP26" s="21"/>
      <c r="BQ26" s="21"/>
      <c r="BR26" s="118"/>
      <c r="BS26" s="116"/>
      <c r="BT26" s="21"/>
      <c r="BU26" s="21"/>
      <c r="BV26" s="21"/>
      <c r="BW26" s="21"/>
      <c r="BX26" s="21"/>
      <c r="BY26" s="118"/>
      <c r="BZ26" s="116"/>
      <c r="CA26" s="21"/>
      <c r="CB26" s="21"/>
      <c r="CC26" s="21"/>
      <c r="CD26" s="21"/>
      <c r="CE26" s="21"/>
    </row>
    <row r="27" spans="1:83" x14ac:dyDescent="0.25">
      <c r="A27" s="16">
        <v>21</v>
      </c>
      <c r="B27" s="17" t="str" cm="1">
        <f t="array" ref="B27">INDEX(T,18+INT(MOD(R27-1,7)),lang)</f>
        <v>Wed</v>
      </c>
      <c r="C27" s="18" t="str" cm="1">
        <f t="array" ref="C27">INDEX(T,24+MONTH(R27),lang) &amp; " " &amp; DAY(R27) &amp; ", " &amp; YEAR(R27)</f>
        <v>Jun 17, 2026</v>
      </c>
      <c r="D27" s="124">
        <f t="shared" si="7"/>
        <v>0.75</v>
      </c>
      <c r="E27" s="78" t="str">
        <f>AB76</f>
        <v>Ghana</v>
      </c>
      <c r="F27" s="19"/>
      <c r="G27" s="20"/>
      <c r="H27" s="80" t="str">
        <f>AB77</f>
        <v>Panama</v>
      </c>
      <c r="J27" s="30" t="str">
        <f>VLOOKUP(1,AA26:AK29,2,FALSE)</f>
        <v>United States</v>
      </c>
      <c r="K27" s="31">
        <f>L27+M27+N27</f>
        <v>0</v>
      </c>
      <c r="L27" s="31">
        <f>VLOOKUP(1,AA26:AK29,3,FALSE)</f>
        <v>0</v>
      </c>
      <c r="M27" s="31">
        <f>VLOOKUP(1,AA26:AK29,4,FALSE)</f>
        <v>0</v>
      </c>
      <c r="N27" s="31">
        <f>VLOOKUP(1,AA26:AK29,5,FALSE)</f>
        <v>0</v>
      </c>
      <c r="O27" s="31" t="str">
        <f>VLOOKUP(1,AA26:AK29,6,FALSE) &amp; " - " &amp; VLOOKUP(1,AA26:AK29,7,FALSE)</f>
        <v>0 - 0</v>
      </c>
      <c r="P27" s="32">
        <f>L27*3+M27</f>
        <v>0</v>
      </c>
      <c r="R27" s="125">
        <f>DATE(2026,6,17)+TIME(12,0,0)+gmt_delta</f>
        <v>46190.75</v>
      </c>
      <c r="S27" s="127" t="str">
        <f t="shared" si="1"/>
        <v/>
      </c>
      <c r="T27" s="127" t="str">
        <f t="shared" si="2"/>
        <v/>
      </c>
      <c r="U27" s="126">
        <f t="shared" si="8"/>
        <v>0</v>
      </c>
      <c r="V27" s="125">
        <f t="shared" si="3"/>
        <v>0</v>
      </c>
      <c r="W27" s="125">
        <f t="shared" si="4"/>
        <v>0</v>
      </c>
      <c r="X27" s="125">
        <f t="shared" si="5"/>
        <v>0</v>
      </c>
      <c r="Y27" s="125" t="str">
        <f t="shared" si="6"/>
        <v/>
      </c>
      <c r="AA27" s="125">
        <f>COUNTIF(AN26:AN29,CONCATENATE("&gt;=",AN27))</f>
        <v>4</v>
      </c>
      <c r="AB27" s="126" t="str">
        <f>VLOOKUP("Paraguay",T,lang,FALSE)</f>
        <v>Paraguay</v>
      </c>
      <c r="AC27" s="125">
        <f>COUNTIF($S$7:$T$78,"=" &amp; AB27 &amp; "_win")</f>
        <v>0</v>
      </c>
      <c r="AD27" s="125">
        <f>COUNTIF($S$7:$T$78,"=" &amp; AB27 &amp; "_draw")</f>
        <v>0</v>
      </c>
      <c r="AE27" s="125">
        <f>COUNTIF($S$7:$T$78,"=" &amp; AB27 &amp; "_lose")</f>
        <v>0</v>
      </c>
      <c r="AF27" s="125">
        <f>SUMIF($E$7:$E$78,$AB27,$F$7:$F$78) + SUMIF($H$7:$H$78,$AB27,$G$7:$G$78)</f>
        <v>0</v>
      </c>
      <c r="AG27" s="125">
        <f>SUMIF($E$7:$E$78,$AB27,$G$7:$G$78) + SUMIF($H$7:$H$78,$AB27,$F$7:$F$78)</f>
        <v>0</v>
      </c>
      <c r="AI27" s="125">
        <f>AF27-AG27</f>
        <v>0</v>
      </c>
      <c r="AJ27" s="125">
        <f>AI27-AI30</f>
        <v>0</v>
      </c>
      <c r="AK27" s="125">
        <f>AC27*3+AD27</f>
        <v>0</v>
      </c>
      <c r="AL27" s="125">
        <f>AK27/AK30*10000+AW27*1000+AJ27/AJ30*100+AF27/AF30*10+IF(AM27=0,ROW(),AM27)/2000000</f>
        <v>7.5175000000000003E-4</v>
      </c>
      <c r="AM27" s="125">
        <f>VLOOKUP(AB27,db_fifarank,2,FALSE)</f>
        <v>1503.5</v>
      </c>
      <c r="AN27" s="126">
        <f>AL27/AL30</f>
        <v>7.5112163792696765E-4</v>
      </c>
      <c r="AO27" s="126" t="str">
        <f>IF(SUM(AC26:AE29)=12,J28,"2D")</f>
        <v>2D</v>
      </c>
      <c r="AP27" s="125" cm="1">
        <f t="array" ref="AP27">SUMPRODUCT(($S$7:$S$78=AB27&amp;"_win")*($U$7:$U$78))+SUMPRODUCT(($T$7:$T$78=AB27&amp;"_win")*($U$7:$U$78))</f>
        <v>0</v>
      </c>
      <c r="AQ27" s="125" cm="1">
        <f t="array" ref="AQ27">SUMPRODUCT(($S$7:$S$78=AB27&amp;"_draw")*($U$7:$U$78))+SUMPRODUCT(($T$7:$T$78=AB27&amp;"_draw")*($U$7:$U$78))</f>
        <v>0</v>
      </c>
      <c r="AR27" s="125" cm="1">
        <f t="array" ref="AR27">SUMPRODUCT(($E$7:$E$78=AB27)*($U$7:$U$78)*($F$7:$F$78))+SUMPRODUCT(($H$7:$H$78=AB27)*($U$7:$U$78)*($G$7:$G$78))</f>
        <v>0</v>
      </c>
      <c r="AS27" s="125" cm="1">
        <f t="array" ref="AS27">SUMPRODUCT(($E$7:$E$78=AB27)*($U$7:$U$78)*($G$7:$G$78))+SUMPRODUCT(($H$7:$H$78=AB27)*($U$7:$U$78)*($F$7:$F$78))</f>
        <v>0</v>
      </c>
      <c r="AT27" s="125">
        <f>AR27-AS27</f>
        <v>0</v>
      </c>
      <c r="AU27" s="125">
        <f>AT27-MIN(AT26:AT29)</f>
        <v>0</v>
      </c>
      <c r="AV27" s="125">
        <f>AP27/AP30*1000+AQ27/AQ30*100+AU27/AU30*10+AR27/AR30</f>
        <v>0</v>
      </c>
      <c r="AW27" s="125">
        <f>AV27/AV30</f>
        <v>0</v>
      </c>
      <c r="AY27" s="131"/>
      <c r="AZ27" s="26" t="str">
        <f>AO75</f>
        <v>2L</v>
      </c>
      <c r="BA27" s="62"/>
      <c r="BB27" s="64"/>
      <c r="BC27" s="27"/>
      <c r="BD27" s="117">
        <f>BA27*1000+BB27*10+BC27</f>
        <v>0</v>
      </c>
      <c r="BE27" s="116"/>
      <c r="BF27" s="21" t="str" cm="1">
        <f t="array" ref="BF27">INDEX(T,24+MONTH(BK27),lang) &amp; " " &amp; DAY(BK27) &amp; ", " &amp; YEAR(BK27) &amp; "   " &amp; (IF(HOUR(BK27)&lt;10,0,"")&amp;HOUR(BK27)) &amp; ":" &amp;  (IF(MINUTE(BK27)&lt;10,0,"")&amp;MINUTE(BK27))</f>
        <v>Jul 6, 2026   14:00</v>
      </c>
      <c r="BG27" s="21"/>
      <c r="BH27" s="21"/>
      <c r="BI27" s="21"/>
      <c r="BJ27" s="28"/>
      <c r="BK27" s="116">
        <f>DATE(2026,7,6)+TIME(8,0,0)+gmt_delta</f>
        <v>46209.583333333336</v>
      </c>
      <c r="BL27" s="116"/>
      <c r="BM27" s="21"/>
      <c r="BN27" s="21"/>
      <c r="BO27" s="21"/>
      <c r="BP27" s="21"/>
      <c r="BQ27" s="21"/>
      <c r="BR27" s="118"/>
      <c r="BS27" s="116"/>
      <c r="BT27" s="21"/>
      <c r="BU27" s="21"/>
      <c r="BV27" s="21"/>
      <c r="BW27" s="21"/>
      <c r="BX27" s="21"/>
      <c r="BY27" s="118"/>
      <c r="BZ27" s="116"/>
      <c r="CA27" s="21"/>
      <c r="CB27" s="21"/>
      <c r="CC27" s="21"/>
      <c r="CD27" s="21"/>
      <c r="CE27" s="21"/>
    </row>
    <row r="28" spans="1:83" x14ac:dyDescent="0.25">
      <c r="A28" s="16">
        <v>22</v>
      </c>
      <c r="B28" s="17" t="str" cm="1">
        <f t="array" ref="B28">INDEX(T,18+INT(MOD(R28-1,7)),lang)</f>
        <v>Wed</v>
      </c>
      <c r="C28" s="18" t="str" cm="1">
        <f t="array" ref="C28">INDEX(T,24+MONTH(R28),lang) &amp; " " &amp; DAY(R28) &amp; ", " &amp; YEAR(R28)</f>
        <v>Jun 17, 2026</v>
      </c>
      <c r="D28" s="124">
        <f t="shared" si="7"/>
        <v>0.625</v>
      </c>
      <c r="E28" s="78" t="str">
        <f>AB74</f>
        <v>England</v>
      </c>
      <c r="F28" s="19"/>
      <c r="G28" s="20"/>
      <c r="H28" s="80" t="str">
        <f>AB75</f>
        <v>Croatia</v>
      </c>
      <c r="J28" s="33" t="str">
        <f>VLOOKUP(2,AA26:AK29,2,FALSE)</f>
        <v>Turkey</v>
      </c>
      <c r="K28" s="23">
        <f>L28+M28+N28</f>
        <v>0</v>
      </c>
      <c r="L28" s="23">
        <f>VLOOKUP(2,AA26:AK29,3,FALSE)</f>
        <v>0</v>
      </c>
      <c r="M28" s="23">
        <f>VLOOKUP(2,AA26:AK29,4,FALSE)</f>
        <v>0</v>
      </c>
      <c r="N28" s="23">
        <f>VLOOKUP(2,AA26:AK29,5,FALSE)</f>
        <v>0</v>
      </c>
      <c r="O28" s="23" t="str">
        <f>VLOOKUP(2,AA26:AK29,6,FALSE) &amp; " - " &amp; VLOOKUP(2,AA26:AK29,7,FALSE)</f>
        <v>0 - 0</v>
      </c>
      <c r="P28" s="34">
        <f>L28*3+M28</f>
        <v>0</v>
      </c>
      <c r="R28" s="125">
        <f>DATE(2026,6,17)+TIME(9,0,0)+gmt_delta</f>
        <v>46190.625</v>
      </c>
      <c r="S28" s="127" t="str">
        <f t="shared" si="1"/>
        <v/>
      </c>
      <c r="T28" s="127" t="str">
        <f t="shared" si="2"/>
        <v/>
      </c>
      <c r="U28" s="126">
        <f t="shared" si="8"/>
        <v>0</v>
      </c>
      <c r="V28" s="125">
        <f t="shared" si="3"/>
        <v>0</v>
      </c>
      <c r="W28" s="125">
        <f t="shared" si="4"/>
        <v>0</v>
      </c>
      <c r="X28" s="125">
        <f t="shared" si="5"/>
        <v>0</v>
      </c>
      <c r="Y28" s="125" t="str">
        <f t="shared" si="6"/>
        <v/>
      </c>
      <c r="AA28" s="125">
        <f>COUNTIF(AN26:AN29,CONCATENATE("&gt;=",AN28))</f>
        <v>3</v>
      </c>
      <c r="AB28" s="126" t="str">
        <f>VLOOKUP("Australia",T,lang,FALSE)</f>
        <v>Australia</v>
      </c>
      <c r="AC28" s="125">
        <f>COUNTIF($S$7:$T$78,"=" &amp; AB28 &amp; "_win")</f>
        <v>0</v>
      </c>
      <c r="AD28" s="125">
        <f>COUNTIF($S$7:$T$78,"=" &amp; AB28 &amp; "_draw")</f>
        <v>0</v>
      </c>
      <c r="AE28" s="125">
        <f>COUNTIF($S$7:$T$78,"=" &amp; AB28 &amp; "_lose")</f>
        <v>0</v>
      </c>
      <c r="AF28" s="125">
        <f>SUMIF($E$7:$E$78,$AB28,$F$7:$F$78) + SUMIF($H$7:$H$78,$AB28,$G$7:$G$78)</f>
        <v>0</v>
      </c>
      <c r="AG28" s="125">
        <f>SUMIF($E$7:$E$78,$AB28,$G$7:$G$78) + SUMIF($H$7:$H$78,$AB28,$F$7:$F$78)</f>
        <v>0</v>
      </c>
      <c r="AI28" s="125">
        <f>AF28-AG28</f>
        <v>0</v>
      </c>
      <c r="AJ28" s="125">
        <f>AI28-AI30</f>
        <v>0</v>
      </c>
      <c r="AK28" s="125">
        <f>AC28*3+AD28</f>
        <v>0</v>
      </c>
      <c r="AL28" s="125">
        <f>AK28/AK30*10000+AW28*1000+AJ28/AJ30*100+AF28/AF30*10+IF(AM28=0,ROW(),AM28)/2000000</f>
        <v>7.9033500000000008E-4</v>
      </c>
      <c r="AM28" s="125">
        <f>VLOOKUP(AB28,db_fifarank,2,FALSE)</f>
        <v>1580.67</v>
      </c>
      <c r="AN28" s="126">
        <f>AL28/AL30</f>
        <v>7.8967438604723647E-4</v>
      </c>
      <c r="AP28" s="125" cm="1">
        <f t="array" ref="AP28">SUMPRODUCT(($S$7:$S$78=AB28&amp;"_win")*($U$7:$U$78))+SUMPRODUCT(($T$7:$T$78=AB28&amp;"_win")*($U$7:$U$78))</f>
        <v>0</v>
      </c>
      <c r="AQ28" s="125" cm="1">
        <f t="array" ref="AQ28">SUMPRODUCT(($S$7:$S$78=AB28&amp;"_draw")*($U$7:$U$78))+SUMPRODUCT(($T$7:$T$78=AB28&amp;"_draw")*($U$7:$U$78))</f>
        <v>0</v>
      </c>
      <c r="AR28" s="125" cm="1">
        <f t="array" ref="AR28">SUMPRODUCT(($E$7:$E$78=AB28)*($U$7:$U$78)*($F$7:$F$78))+SUMPRODUCT(($H$7:$H$78=AB28)*($U$7:$U$78)*($G$7:$G$78))</f>
        <v>0</v>
      </c>
      <c r="AS28" s="125" cm="1">
        <f t="array" ref="AS28">SUMPRODUCT(($E$7:$E$78=AB28)*($U$7:$U$78)*($G$7:$G$78))+SUMPRODUCT(($H$7:$H$78=AB28)*($U$7:$U$78)*($F$7:$F$78))</f>
        <v>0</v>
      </c>
      <c r="AT28" s="125">
        <f>AR28-AS28</f>
        <v>0</v>
      </c>
      <c r="AU28" s="125">
        <f>AT28-MIN(AT26:AT29)</f>
        <v>0</v>
      </c>
      <c r="AV28" s="125">
        <f>AP28/AP30*1000+AQ28/AQ30*100+AU28/AU30*10+AR28/AR30</f>
        <v>0</v>
      </c>
      <c r="AW28" s="125">
        <f>AV28/AV30</f>
        <v>0</v>
      </c>
      <c r="AY28" s="21"/>
      <c r="AZ28" s="21"/>
      <c r="BA28" s="21"/>
      <c r="BB28" s="21"/>
      <c r="BC28" s="21"/>
      <c r="BD28" s="118"/>
      <c r="BE28" s="116"/>
      <c r="BF28" s="130">
        <v>93</v>
      </c>
      <c r="BG28" s="112" t="str">
        <f>IF(BD26&gt;BD27,AZ26,IF(BD26&lt;BD27,AZ27,""))</f>
        <v/>
      </c>
      <c r="BH28" s="61"/>
      <c r="BI28" s="63"/>
      <c r="BJ28" s="25"/>
      <c r="BK28" s="116">
        <f>BH28*1000+BI28*10+BJ28</f>
        <v>0</v>
      </c>
      <c r="BL28" s="116"/>
      <c r="BM28" s="21"/>
      <c r="BN28" s="21"/>
      <c r="BO28" s="21"/>
      <c r="BP28" s="21"/>
      <c r="BQ28" s="21"/>
      <c r="BR28" s="118"/>
      <c r="BS28" s="116"/>
      <c r="BT28" s="21"/>
      <c r="BU28" s="21"/>
      <c r="BV28" s="21"/>
      <c r="BW28" s="21"/>
      <c r="BX28" s="21"/>
      <c r="BY28" s="118"/>
      <c r="BZ28" s="116"/>
    </row>
    <row r="29" spans="1:83" x14ac:dyDescent="0.25">
      <c r="A29" s="16">
        <v>23</v>
      </c>
      <c r="B29" s="17" t="str" cm="1">
        <f t="array" ref="B29">INDEX(T,18+INT(MOD(R29-1,7)),lang)</f>
        <v>Thu</v>
      </c>
      <c r="C29" s="18" t="str" cm="1">
        <f t="array" ref="C29">INDEX(T,24+MONTH(R29),lang) &amp; " " &amp; DAY(R29) &amp; ", " &amp; YEAR(R29)</f>
        <v>Jun 18, 2026</v>
      </c>
      <c r="D29" s="124">
        <f t="shared" si="7"/>
        <v>0</v>
      </c>
      <c r="E29" s="78" t="str">
        <f>AB68</f>
        <v>Portugal</v>
      </c>
      <c r="F29" s="19"/>
      <c r="G29" s="20"/>
      <c r="H29" s="80" t="str">
        <f>AB69</f>
        <v>DR Congo</v>
      </c>
      <c r="J29" s="33" t="str">
        <f>VLOOKUP(3,AA26:AK29,2,FALSE)</f>
        <v>Australia</v>
      </c>
      <c r="K29" s="23">
        <f>L29+M29+N29</f>
        <v>0</v>
      </c>
      <c r="L29" s="23">
        <f>VLOOKUP(3,AA26:AK29,3,FALSE)</f>
        <v>0</v>
      </c>
      <c r="M29" s="23">
        <f>VLOOKUP(3,AA26:AK29,4,FALSE)</f>
        <v>0</v>
      </c>
      <c r="N29" s="23">
        <f>VLOOKUP(3,AA26:AK29,5,FALSE)</f>
        <v>0</v>
      </c>
      <c r="O29" s="23" t="str">
        <f>VLOOKUP(3,AA26:AK29,6,FALSE) &amp; " - " &amp; VLOOKUP(3,AA26:AK29,7,FALSE)</f>
        <v>0 - 0</v>
      </c>
      <c r="P29" s="34">
        <f>L29*3+M29</f>
        <v>0</v>
      </c>
      <c r="R29" s="125">
        <f>DATE(2026,6,17)+TIME(18,0,0)+gmt_delta</f>
        <v>46191</v>
      </c>
      <c r="S29" s="127" t="str">
        <f t="shared" si="1"/>
        <v/>
      </c>
      <c r="T29" s="127" t="str">
        <f t="shared" si="2"/>
        <v/>
      </c>
      <c r="U29" s="126">
        <f t="shared" si="8"/>
        <v>0</v>
      </c>
      <c r="V29" s="125">
        <f t="shared" si="3"/>
        <v>0</v>
      </c>
      <c r="W29" s="125">
        <f t="shared" si="4"/>
        <v>0</v>
      </c>
      <c r="X29" s="125">
        <f t="shared" si="5"/>
        <v>0</v>
      </c>
      <c r="Y29" s="125" t="str">
        <f t="shared" si="6"/>
        <v/>
      </c>
      <c r="AA29" s="125">
        <f>COUNTIF(AN26:AN29,CONCATENATE("&gt;=",AN29))</f>
        <v>2</v>
      </c>
      <c r="AB29" s="126" t="str">
        <f>VLOOKUP("Turkey",T,lang,FALSE)</f>
        <v>Turkey</v>
      </c>
      <c r="AC29" s="125">
        <f>COUNTIF($S$7:$T$78,"=" &amp; AB29 &amp; "_win")</f>
        <v>0</v>
      </c>
      <c r="AD29" s="125">
        <f>COUNTIF($S$7:$T$78,"=" &amp; AB29 &amp; "_draw")</f>
        <v>0</v>
      </c>
      <c r="AE29" s="125">
        <f>COUNTIF($S$7:$T$78,"=" &amp; AB29 &amp; "_lose")</f>
        <v>0</v>
      </c>
      <c r="AF29" s="125">
        <f>SUMIF($E$7:$E$78,$AB29,$F$7:$F$78) + SUMIF($H$7:$H$78,$AB29,$G$7:$G$78)</f>
        <v>0</v>
      </c>
      <c r="AG29" s="125">
        <f>SUMIF($E$7:$E$78,$AB29,$G$7:$G$78) + SUMIF($H$7:$H$78,$AB29,$F$7:$F$78)</f>
        <v>0</v>
      </c>
      <c r="AI29" s="125">
        <f>AF29-AG29</f>
        <v>0</v>
      </c>
      <c r="AJ29" s="125">
        <f>AI29-AI30</f>
        <v>0</v>
      </c>
      <c r="AK29" s="125">
        <f>AC29*3+AD29</f>
        <v>0</v>
      </c>
      <c r="AL29" s="125">
        <f>AK29/AK30*10000+AW29*1000+AJ29/AJ30*100+AF29/$AF$12*10+IF(AM29=0,ROW(),AM29)/2000000</f>
        <v>7.9951999999999996E-4</v>
      </c>
      <c r="AM29" s="125">
        <f>VLOOKUP(AB29,db_fifarank,2,FALSE)</f>
        <v>1599.04</v>
      </c>
      <c r="AN29" s="126">
        <f>AL29/AL30</f>
        <v>7.9885170862037803E-4</v>
      </c>
      <c r="AP29" s="125" cm="1">
        <f t="array" ref="AP29">SUMPRODUCT(($S$7:$S$78=AB29&amp;"_win")*($U$7:$U$78))+SUMPRODUCT(($T$7:$T$78=AB29&amp;"_win")*($U$7:$U$78))</f>
        <v>0</v>
      </c>
      <c r="AQ29" s="125" cm="1">
        <f t="array" ref="AQ29">SUMPRODUCT(($S$7:$S$78=AB29&amp;"_draw")*($U$7:$U$78))+SUMPRODUCT(($T$7:$T$78=AB29&amp;"_draw")*($U$7:$U$78))</f>
        <v>0</v>
      </c>
      <c r="AR29" s="125" cm="1">
        <f t="array" ref="AR29">SUMPRODUCT(($E$7:$E$78=AB29)*($U$7:$U$78)*($F$7:$F$78))+SUMPRODUCT(($H$7:$H$78=AB29)*($U$7:$U$78)*($G$7:$G$78))</f>
        <v>0</v>
      </c>
      <c r="AS29" s="125" cm="1">
        <f t="array" ref="AS29">SUMPRODUCT(($E$7:$E$78=AB29)*($U$7:$U$78)*($G$7:$G$78))+SUMPRODUCT(($H$7:$H$78=AB29)*($U$7:$U$78)*($F$7:$F$78))</f>
        <v>0</v>
      </c>
      <c r="AT29" s="125">
        <f>AR29-AS29</f>
        <v>0</v>
      </c>
      <c r="AU29" s="125">
        <f>AT29-MIN(AT26:AT29)</f>
        <v>0</v>
      </c>
      <c r="AV29" s="125">
        <f>AP29/AP30*1000+AQ29/AQ30*100+AU29/AU30*10+AR29/AR30</f>
        <v>0</v>
      </c>
      <c r="AW29" s="125">
        <f>AV29/AV30</f>
        <v>0</v>
      </c>
      <c r="AY29" s="21" t="str" cm="1">
        <f t="array" ref="AY29">INDEX(T,24+MONTH(BD29),lang) &amp; " " &amp; DAY(BD29) &amp; ", " &amp; YEAR(BD29) &amp; "   " &amp; (IF(HOUR(BD29)&lt;10,0,"")&amp;HOUR(BD29)) &amp; ":" &amp;  (IF(MINUTE(BD29)&lt;10,0,"")&amp;MINUTE(BD29))</f>
        <v>Jul 3, 2026   02:00</v>
      </c>
      <c r="AZ29" s="21"/>
      <c r="BA29" s="21"/>
      <c r="BB29" s="21"/>
      <c r="BC29" s="28"/>
      <c r="BD29" s="118">
        <f>DATE(2026,7,2)+TIME(20,0,0)+gmt_delta</f>
        <v>46206.083333333336</v>
      </c>
      <c r="BE29" s="119"/>
      <c r="BF29" s="131"/>
      <c r="BG29" s="26" t="str">
        <f>IF(BD30&gt;BD31,AZ30,IF(BD30&lt;BD31,AZ31,""))</f>
        <v/>
      </c>
      <c r="BH29" s="62"/>
      <c r="BI29" s="64"/>
      <c r="BJ29" s="27"/>
      <c r="BK29" s="117">
        <f>BH29*1000+BI29*10+BJ29</f>
        <v>0</v>
      </c>
      <c r="BL29" s="116"/>
      <c r="BM29" s="21"/>
      <c r="BN29" s="21"/>
      <c r="BO29" s="21"/>
      <c r="BP29" s="21"/>
      <c r="BQ29" s="21"/>
      <c r="BR29" s="118"/>
      <c r="BS29" s="116"/>
      <c r="BT29" s="21"/>
      <c r="BU29" s="21"/>
      <c r="BV29" s="21"/>
      <c r="BW29" s="21"/>
      <c r="BX29" s="21"/>
      <c r="BY29" s="118"/>
      <c r="BZ29" s="116"/>
    </row>
    <row r="30" spans="1:83" x14ac:dyDescent="0.25">
      <c r="A30" s="16">
        <v>24</v>
      </c>
      <c r="B30" s="17" t="str" cm="1">
        <f t="array" ref="B30">INDEX(T,18+INT(MOD(R30-1,7)),lang)</f>
        <v>Wed</v>
      </c>
      <c r="C30" s="18" t="str" cm="1">
        <f t="array" ref="C30">INDEX(T,24+MONTH(R30),lang) &amp; " " &amp; DAY(R30) &amp; ", " &amp; YEAR(R30)</f>
        <v>Jun 17, 2026</v>
      </c>
      <c r="D30" s="124">
        <f t="shared" si="7"/>
        <v>0.875</v>
      </c>
      <c r="E30" s="78" t="str">
        <f>AB70</f>
        <v>Uzbekistan</v>
      </c>
      <c r="F30" s="19"/>
      <c r="G30" s="20"/>
      <c r="H30" s="80" t="str">
        <f>AB71</f>
        <v>Colombia</v>
      </c>
      <c r="J30" s="35" t="str">
        <f>VLOOKUP(4,AA26:AK29,2,FALSE)</f>
        <v>Paraguay</v>
      </c>
      <c r="K30" s="36">
        <f>L30+M30+N30</f>
        <v>0</v>
      </c>
      <c r="L30" s="36">
        <f>VLOOKUP(4,AA26:AK29,3,FALSE)</f>
        <v>0</v>
      </c>
      <c r="M30" s="36">
        <f>VLOOKUP(4,AA26:AK29,4,FALSE)</f>
        <v>0</v>
      </c>
      <c r="N30" s="36">
        <f>VLOOKUP(4,AA26:AK29,5,FALSE)</f>
        <v>0</v>
      </c>
      <c r="O30" s="36" t="str">
        <f>VLOOKUP(4,AA26:AK29,6,FALSE) &amp; " - " &amp; VLOOKUP(4,AA26:AK29,7,FALSE)</f>
        <v>0 - 0</v>
      </c>
      <c r="P30" s="37">
        <f>L30*3+M30</f>
        <v>0</v>
      </c>
      <c r="R30" s="125">
        <f>DATE(2026,6,17)+TIME(15,0,0)+gmt_delta</f>
        <v>46190.875</v>
      </c>
      <c r="S30" s="127" t="str">
        <f t="shared" si="1"/>
        <v/>
      </c>
      <c r="T30" s="127" t="str">
        <f t="shared" si="2"/>
        <v/>
      </c>
      <c r="U30" s="126">
        <f t="shared" si="8"/>
        <v>0</v>
      </c>
      <c r="V30" s="125">
        <f t="shared" si="3"/>
        <v>0</v>
      </c>
      <c r="W30" s="125">
        <f t="shared" si="4"/>
        <v>0</v>
      </c>
      <c r="X30" s="125">
        <f t="shared" si="5"/>
        <v>0</v>
      </c>
      <c r="Y30" s="125" t="str">
        <f t="shared" si="6"/>
        <v/>
      </c>
      <c r="AC30" s="125">
        <f t="shared" ref="AC30:AE30" si="12">MAX(AC26:AC29)-MIN(AC26:AC29)+1</f>
        <v>1</v>
      </c>
      <c r="AD30" s="125">
        <f t="shared" si="12"/>
        <v>1</v>
      </c>
      <c r="AE30" s="125">
        <f t="shared" si="12"/>
        <v>1</v>
      </c>
      <c r="AF30" s="125">
        <f>MAX(AF26:AF29)+1</f>
        <v>1</v>
      </c>
      <c r="AI30" s="125">
        <f>MIN(AI26:AI29)</f>
        <v>0</v>
      </c>
      <c r="AJ30" s="125">
        <f>MAX(AJ26:AJ29)+1</f>
        <v>1</v>
      </c>
      <c r="AK30" s="125">
        <f>MAX(AK26:AK29)+1</f>
        <v>1</v>
      </c>
      <c r="AL30" s="125">
        <f>MAX(AL26:AL29)+1</f>
        <v>1.000836565</v>
      </c>
      <c r="AP30" s="125">
        <f>MAX(AP26:AP29)-MIN(AP26:AP29)+1</f>
        <v>1</v>
      </c>
      <c r="AQ30" s="125">
        <f>MAX(AQ26:AQ29)-MIN(AQ26:AQ29)+1</f>
        <v>1</v>
      </c>
      <c r="AR30" s="125">
        <f>MAX(AR26:AR29)-MIN(AR26:AR29)+1</f>
        <v>1</v>
      </c>
      <c r="AS30" s="125">
        <f>MAX(AS26:AS29)-MIN(AS26:AS29)+1</f>
        <v>1</v>
      </c>
      <c r="AU30" s="125">
        <f>MAX(AU26:AU29)-MIN(AU26:AU29)+1</f>
        <v>1</v>
      </c>
      <c r="AV30" s="125">
        <f>MAX(AV26:AV29)+1</f>
        <v>1</v>
      </c>
      <c r="AY30" s="130">
        <v>84</v>
      </c>
      <c r="AZ30" s="24" t="str">
        <f>AO50</f>
        <v>1H</v>
      </c>
      <c r="BA30" s="61"/>
      <c r="BB30" s="63"/>
      <c r="BC30" s="25"/>
      <c r="BD30" s="120">
        <f>BA30*1000+BB30*10+BC30</f>
        <v>0</v>
      </c>
      <c r="BE30" s="116"/>
      <c r="BF30" s="21"/>
      <c r="BG30" s="21"/>
      <c r="BH30" s="21"/>
      <c r="BI30" s="21"/>
      <c r="BJ30" s="21"/>
      <c r="BK30" s="118"/>
      <c r="BL30" s="116"/>
      <c r="BM30" s="21"/>
      <c r="BN30" s="21"/>
      <c r="BO30" s="21"/>
      <c r="BP30" s="21"/>
      <c r="BQ30" s="21"/>
      <c r="BR30" s="118"/>
      <c r="BS30" s="116"/>
      <c r="BT30" s="21"/>
      <c r="BU30" s="21"/>
      <c r="BV30" s="21"/>
      <c r="BW30" s="21"/>
      <c r="BX30" s="21"/>
      <c r="BY30" s="118"/>
      <c r="BZ30" s="116"/>
    </row>
    <row r="31" spans="1:83" ht="15" customHeight="1" x14ac:dyDescent="0.25">
      <c r="A31" s="16">
        <v>25</v>
      </c>
      <c r="B31" s="17" t="str" cm="1">
        <f t="array" ref="B31">INDEX(T,18+INT(MOD(R31-1,7)),lang)</f>
        <v>Thu</v>
      </c>
      <c r="C31" s="18" t="str" cm="1">
        <f t="array" ref="C31">INDEX(T,24+MONTH(R31),lang) &amp; " " &amp; DAY(R31) &amp; ", " &amp; YEAR(R31)</f>
        <v>Jun 18, 2026</v>
      </c>
      <c r="D31" s="124">
        <f t="shared" si="7"/>
        <v>0.95833333333333337</v>
      </c>
      <c r="E31" s="78" t="str">
        <f>AB11</f>
        <v>Czech Republic</v>
      </c>
      <c r="F31" s="19"/>
      <c r="G31" s="20"/>
      <c r="H31" s="80" t="str">
        <f>AB9</f>
        <v>South Africa</v>
      </c>
      <c r="R31" s="125">
        <f>DATE(2026,6,18)+TIME(17,0,0)+gmt_delta</f>
        <v>46191.958333333336</v>
      </c>
      <c r="S31" s="127" t="str">
        <f t="shared" si="1"/>
        <v/>
      </c>
      <c r="T31" s="127" t="str">
        <f t="shared" si="2"/>
        <v/>
      </c>
      <c r="U31" s="126">
        <f t="shared" si="8"/>
        <v>0</v>
      </c>
      <c r="V31" s="125">
        <f t="shared" si="3"/>
        <v>0</v>
      </c>
      <c r="W31" s="125">
        <f t="shared" si="4"/>
        <v>0</v>
      </c>
      <c r="X31" s="125">
        <f t="shared" si="5"/>
        <v>0</v>
      </c>
      <c r="Y31" s="125" t="str">
        <f t="shared" si="6"/>
        <v/>
      </c>
      <c r="AY31" s="131"/>
      <c r="AZ31" s="26" t="str">
        <f>AO45</f>
        <v>2G</v>
      </c>
      <c r="BA31" s="62"/>
      <c r="BB31" s="64"/>
      <c r="BC31" s="27"/>
      <c r="BD31" s="116">
        <f>BA31*1000+BB31*10+BC31</f>
        <v>0</v>
      </c>
      <c r="BE31" s="116"/>
      <c r="BF31" s="21"/>
      <c r="BG31" s="21"/>
      <c r="BH31" s="21"/>
      <c r="BI31" s="21"/>
      <c r="BJ31" s="21"/>
      <c r="BK31" s="118"/>
      <c r="BL31" s="116"/>
      <c r="BM31" s="21" t="str" cm="1">
        <f t="array" ref="BM31">INDEX(T,24+MONTH(BR31),lang) &amp; " " &amp; DAY(BR31) &amp; ", " &amp; YEAR(BR31) &amp; "   " &amp; (IF(HOUR(BR31)&lt;10,0,"")&amp;HOUR(BR31)) &amp; ":" &amp;  (IF(MINUTE(BR31)&lt;10,0,"")&amp;MINUTE(BR31))</f>
        <v>Jul 11, 2026   02:00</v>
      </c>
      <c r="BN31" s="21"/>
      <c r="BO31" s="21"/>
      <c r="BP31" s="21"/>
      <c r="BQ31" s="28"/>
      <c r="BR31" s="118">
        <f>DATE(2026,7,10)+TIME(20,0,0)+gmt_delta</f>
        <v>46214.083333333336</v>
      </c>
      <c r="BS31" s="116"/>
      <c r="BY31" s="118"/>
      <c r="BZ31" s="116"/>
    </row>
    <row r="32" spans="1:83" ht="15" customHeight="1" x14ac:dyDescent="0.25">
      <c r="A32" s="16">
        <v>26</v>
      </c>
      <c r="B32" s="17" t="str" cm="1">
        <f t="array" ref="B32">INDEX(T,18+INT(MOD(R32-1,7)),lang)</f>
        <v>Fri</v>
      </c>
      <c r="C32" s="18" t="str" cm="1">
        <f t="array" ref="C32">INDEX(T,24+MONTH(R32),lang) &amp; " " &amp; DAY(R32) &amp; ", " &amp; YEAR(R32)</f>
        <v>Jun 19, 2026</v>
      </c>
      <c r="D32" s="124">
        <f t="shared" si="7"/>
        <v>8.3333333333333329E-2</v>
      </c>
      <c r="E32" s="78" t="str">
        <f>AB17</f>
        <v>Switzerland</v>
      </c>
      <c r="F32" s="19"/>
      <c r="G32" s="20"/>
      <c r="H32" s="80" t="str">
        <f>AB15</f>
        <v>Bosnia and Herzegovina</v>
      </c>
      <c r="J32" s="38" t="str" cm="1">
        <f t="array" ref="J32">INDEX(T,9,lang) &amp; " " &amp; "E"</f>
        <v>Group E</v>
      </c>
      <c r="K32" s="94" t="str" cm="1">
        <f t="array" ref="K32">INDEX(T,10,lang)</f>
        <v>PL</v>
      </c>
      <c r="L32" s="94" t="str" cm="1">
        <f t="array" ref="L32">INDEX(T,11,lang)</f>
        <v>W</v>
      </c>
      <c r="M32" s="94" t="str" cm="1">
        <f t="array" ref="M32">INDEX(T,12,lang)</f>
        <v>DRAW</v>
      </c>
      <c r="N32" s="94" t="str" cm="1">
        <f t="array" ref="N32">INDEX(T,13,lang)</f>
        <v>L</v>
      </c>
      <c r="O32" s="94" t="str" cm="1">
        <f t="array" ref="O32">INDEX(T,14,lang)</f>
        <v>GF - GA</v>
      </c>
      <c r="P32" s="95" t="str" cm="1">
        <f t="array" ref="P32">INDEX(T,15,lang)</f>
        <v>PNT</v>
      </c>
      <c r="R32" s="125">
        <f>DATE(2026,6,18)+TIME(20,0,0)+gmt_delta</f>
        <v>46192.083333333336</v>
      </c>
      <c r="S32" s="127" t="str">
        <f t="shared" si="1"/>
        <v/>
      </c>
      <c r="T32" s="127" t="str">
        <f t="shared" si="2"/>
        <v/>
      </c>
      <c r="U32" s="126">
        <f t="shared" si="8"/>
        <v>0</v>
      </c>
      <c r="V32" s="125">
        <f t="shared" si="3"/>
        <v>0</v>
      </c>
      <c r="W32" s="125">
        <f t="shared" si="4"/>
        <v>0</v>
      </c>
      <c r="X32" s="125">
        <f t="shared" si="5"/>
        <v>0</v>
      </c>
      <c r="Y32" s="125" t="str">
        <f t="shared" si="6"/>
        <v/>
      </c>
      <c r="AA32" s="125">
        <f>COUNTIF(AN32:AN35,CONCATENATE("&gt;=",AN32))</f>
        <v>1</v>
      </c>
      <c r="AB32" s="126" t="str">
        <f>VLOOKUP("Germany",T,lang,FALSE)</f>
        <v>Germany</v>
      </c>
      <c r="AC32" s="125">
        <f>COUNTIF($S$7:$T$78,"=" &amp; AB32 &amp; "_win")</f>
        <v>0</v>
      </c>
      <c r="AD32" s="125">
        <f>COUNTIF($S$7:$T$78,"=" &amp; AB32 &amp; "_draw")</f>
        <v>0</v>
      </c>
      <c r="AE32" s="125">
        <f>COUNTIF($S$7:$T$78,"=" &amp; AB32 &amp; "_lose")</f>
        <v>0</v>
      </c>
      <c r="AF32" s="125">
        <f>SUMIF($E$7:$E$78,$AB32,$F$7:$F$78) + SUMIF($H$7:$H$78,$AB32,$G$7:$G$78)</f>
        <v>0</v>
      </c>
      <c r="AG32" s="125">
        <f>SUMIF($E$7:$E$78,$AB32,$G$7:$G$78) + SUMIF($H$7:$H$78,$AB32,$F$7:$F$78)</f>
        <v>0</v>
      </c>
      <c r="AI32" s="125">
        <f>AF32-AG32</f>
        <v>0</v>
      </c>
      <c r="AJ32" s="125">
        <f>AI32-AI36</f>
        <v>0</v>
      </c>
      <c r="AK32" s="125">
        <f>AC32*3+AD32</f>
        <v>0</v>
      </c>
      <c r="AL32" s="125">
        <f>AK32/AK36*10000+AW32*1000+AJ32/AJ36*100+AF32/AF36*10+IF(AM32=0,ROW(),AM32)/2000000</f>
        <v>8.6518499999999998E-4</v>
      </c>
      <c r="AM32" s="125">
        <f>VLOOKUP(AB32,db_fifarank,2,FALSE)</f>
        <v>1730.37</v>
      </c>
      <c r="AN32" s="126">
        <f>AL32/AL36</f>
        <v>8.6443710198591821E-4</v>
      </c>
      <c r="AO32" s="126" t="str">
        <f>IF(SUM(AC32:AE35)=12,J33,"1E")</f>
        <v>1E</v>
      </c>
      <c r="AP32" s="125" cm="1">
        <f t="array" ref="AP32">SUMPRODUCT(($S$7:$S$78=AB32&amp;"_win")*($U$7:$U$78))+SUMPRODUCT(($T$7:$T$78=AB32&amp;"_win")*($U$7:$U$78))</f>
        <v>0</v>
      </c>
      <c r="AQ32" s="125" cm="1">
        <f t="array" ref="AQ32">SUMPRODUCT(($S$7:$S$78=AB32&amp;"_draw")*($U$7:$U$78))+SUMPRODUCT(($T$7:$T$78=AB32&amp;"_draw")*($U$7:$U$78))</f>
        <v>0</v>
      </c>
      <c r="AR32" s="125" cm="1">
        <f t="array" ref="AR32">SUMPRODUCT(($E$7:$E$78=AB32)*($U$7:$U$78)*($F$7:$F$78))+SUMPRODUCT(($H$7:$H$78=AB32)*($U$7:$U$78)*($G$7:$G$78))</f>
        <v>0</v>
      </c>
      <c r="AS32" s="125" cm="1">
        <f t="array" ref="AS32">SUMPRODUCT(($E$7:$E$78=AB32)*($U$7:$U$78)*($G$7:$G$78))+SUMPRODUCT(($H$7:$H$78=AB32)*($U$7:$U$78)*($F$7:$F$78))</f>
        <v>0</v>
      </c>
      <c r="AT32" s="125">
        <f>AR32-AS32</f>
        <v>0</v>
      </c>
      <c r="AU32" s="125">
        <f>AT32-MIN(AT32:AT35)</f>
        <v>0</v>
      </c>
      <c r="AV32" s="125">
        <f>AP32/AP36*1000+AQ32/AQ36*100+AU32/AU36*10+AR32/AR36</f>
        <v>0</v>
      </c>
      <c r="AW32" s="125">
        <f>AV32/AV36</f>
        <v>0</v>
      </c>
      <c r="AY32" s="21"/>
      <c r="AZ32" s="21"/>
      <c r="BA32" s="21"/>
      <c r="BB32" s="21"/>
      <c r="BC32" s="21"/>
      <c r="BD32" s="116"/>
      <c r="BE32" s="116"/>
      <c r="BF32" s="21"/>
      <c r="BG32" s="21"/>
      <c r="BH32" s="21"/>
      <c r="BI32" s="21"/>
      <c r="BJ32" s="21"/>
      <c r="BK32" s="118"/>
      <c r="BL32" s="116"/>
      <c r="BM32" s="130">
        <v>98</v>
      </c>
      <c r="BN32" s="112" t="str">
        <f>IF(BK28&gt;BK29,BG28,IF(BK28&lt;BK29,BG29,""))</f>
        <v/>
      </c>
      <c r="BO32" s="61"/>
      <c r="BP32" s="63"/>
      <c r="BQ32" s="25"/>
      <c r="BR32" s="120">
        <f>BO32*1000+BP32*10+BQ32</f>
        <v>0</v>
      </c>
      <c r="BS32" s="116"/>
      <c r="BY32" s="118"/>
      <c r="BZ32" s="116"/>
    </row>
    <row r="33" spans="1:84" x14ac:dyDescent="0.25">
      <c r="A33" s="16">
        <v>27</v>
      </c>
      <c r="B33" s="17" t="str" cm="1">
        <f t="array" ref="B33">INDEX(T,18+INT(MOD(R33-1,7)),lang)</f>
        <v>Thu</v>
      </c>
      <c r="C33" s="18" t="str" cm="1">
        <f t="array" ref="C33">INDEX(T,24+MONTH(R33),lang) &amp; " " &amp; DAY(R33) &amp; ", " &amp; YEAR(R33)</f>
        <v>Jun 18, 2026</v>
      </c>
      <c r="D33" s="124">
        <f t="shared" si="7"/>
        <v>0.70833333333333337</v>
      </c>
      <c r="E33" s="78" t="str">
        <f>AB14</f>
        <v>Canada</v>
      </c>
      <c r="F33" s="19"/>
      <c r="G33" s="20"/>
      <c r="H33" s="80" t="str">
        <f>AB16</f>
        <v>Qatar</v>
      </c>
      <c r="J33" s="30" t="str">
        <f>VLOOKUP(1,AA32:AK35,2,FALSE)</f>
        <v>Germany</v>
      </c>
      <c r="K33" s="31">
        <f>L33+M33+N33</f>
        <v>0</v>
      </c>
      <c r="L33" s="31">
        <f>VLOOKUP(1,AA32:AK35,3,FALSE)</f>
        <v>0</v>
      </c>
      <c r="M33" s="31">
        <f>VLOOKUP(1,AA32:AK35,4,FALSE)</f>
        <v>0</v>
      </c>
      <c r="N33" s="31">
        <f>VLOOKUP(1,AA32:AK35,5,FALSE)</f>
        <v>0</v>
      </c>
      <c r="O33" s="31" t="str">
        <f>VLOOKUP(1,AA32:AK35,6,FALSE) &amp; " - " &amp; VLOOKUP(1,AA32:AK35,7,FALSE)</f>
        <v>0 - 0</v>
      </c>
      <c r="P33" s="32">
        <f>L33*3+M33</f>
        <v>0</v>
      </c>
      <c r="R33" s="125">
        <f>DATE(2026,6,18)+TIME(11,0,0)+gmt_delta</f>
        <v>46191.708333333336</v>
      </c>
      <c r="S33" s="127" t="str">
        <f t="shared" si="1"/>
        <v/>
      </c>
      <c r="T33" s="127" t="str">
        <f t="shared" si="2"/>
        <v/>
      </c>
      <c r="U33" s="126">
        <f t="shared" si="8"/>
        <v>0</v>
      </c>
      <c r="V33" s="125">
        <f t="shared" si="3"/>
        <v>0</v>
      </c>
      <c r="W33" s="125">
        <f t="shared" si="4"/>
        <v>0</v>
      </c>
      <c r="X33" s="125">
        <f t="shared" si="5"/>
        <v>0</v>
      </c>
      <c r="Y33" s="125" t="str">
        <f t="shared" si="6"/>
        <v/>
      </c>
      <c r="AA33" s="125">
        <f>COUNTIF(AN32:AN35,CONCATENATE("&gt;=",AN33))</f>
        <v>4</v>
      </c>
      <c r="AB33" s="126" t="str">
        <f>VLOOKUP("Curaçao",T,lang,FALSE)</f>
        <v>Curaçao</v>
      </c>
      <c r="AC33" s="125">
        <f>COUNTIF($S$7:$T$78,"=" &amp; AB33 &amp; "_win")</f>
        <v>0</v>
      </c>
      <c r="AD33" s="125">
        <f>COUNTIF($S$7:$T$78,"=" &amp; AB33 &amp; "_draw")</f>
        <v>0</v>
      </c>
      <c r="AE33" s="125">
        <f>COUNTIF($S$7:$T$78,"=" &amp; AB33 &amp; "_lose")</f>
        <v>0</v>
      </c>
      <c r="AF33" s="125">
        <f>SUMIF($E$7:$E$78,$AB33,$F$7:$F$78) + SUMIF($H$7:$H$78,$AB33,$G$7:$G$78)</f>
        <v>0</v>
      </c>
      <c r="AG33" s="125">
        <f>SUMIF($E$7:$E$78,$AB33,$G$7:$G$78) + SUMIF($H$7:$H$78,$AB33,$F$7:$F$78)</f>
        <v>0</v>
      </c>
      <c r="AI33" s="125">
        <f>AF33-AG33</f>
        <v>0</v>
      </c>
      <c r="AJ33" s="125">
        <f>AI33-AI36</f>
        <v>0</v>
      </c>
      <c r="AK33" s="125">
        <f>AC33*3+AD33</f>
        <v>0</v>
      </c>
      <c r="AL33" s="125">
        <f>AK33/AK36*10000+AW33*1000+AJ33/AJ36*100+AF33/AF36*10+IF(AM33=0,ROW(),AM33)/2000000</f>
        <v>6.4732500000000003E-4</v>
      </c>
      <c r="AM33" s="125">
        <f>VLOOKUP(AB33,db_fifarank,2,FALSE)</f>
        <v>1294.6500000000001</v>
      </c>
      <c r="AN33" s="126">
        <f>AL33/AL36</f>
        <v>6.4676542825295696E-4</v>
      </c>
      <c r="AO33" s="126" t="str">
        <f>IF(SUM(AC32:AE35)=12,J34,"2E")</f>
        <v>2E</v>
      </c>
      <c r="AP33" s="125" cm="1">
        <f t="array" ref="AP33">SUMPRODUCT(($S$7:$S$78=AB33&amp;"_win")*($U$7:$U$78))+SUMPRODUCT(($T$7:$T$78=AB33&amp;"_win")*($U$7:$U$78))</f>
        <v>0</v>
      </c>
      <c r="AQ33" s="125" cm="1">
        <f t="array" ref="AQ33">SUMPRODUCT(($S$7:$S$78=AB33&amp;"_draw")*($U$7:$U$78))+SUMPRODUCT(($T$7:$T$78=AB33&amp;"_draw")*($U$7:$U$78))</f>
        <v>0</v>
      </c>
      <c r="AR33" s="125" cm="1">
        <f t="array" ref="AR33">SUMPRODUCT(($E$7:$E$78=AB33)*($U$7:$U$78)*($F$7:$F$78))+SUMPRODUCT(($H$7:$H$78=AB33)*($U$7:$U$78)*($G$7:$G$78))</f>
        <v>0</v>
      </c>
      <c r="AS33" s="125" cm="1">
        <f t="array" ref="AS33">SUMPRODUCT(($E$7:$E$78=AB33)*($U$7:$U$78)*($G$7:$G$78))+SUMPRODUCT(($H$7:$H$78=AB33)*($U$7:$U$78)*($F$7:$F$78))</f>
        <v>0</v>
      </c>
      <c r="AT33" s="125">
        <f>AR33-AS33</f>
        <v>0</v>
      </c>
      <c r="AU33" s="125">
        <f>AT33-MIN(AT32:AT35)</f>
        <v>0</v>
      </c>
      <c r="AV33" s="125">
        <f>AP33/AP36*1000+AQ33/AQ36*100+AU33/AU36*10+AR33/AR36</f>
        <v>0</v>
      </c>
      <c r="AW33" s="125">
        <f>AV33/AV36</f>
        <v>0</v>
      </c>
      <c r="AY33" s="21" t="str" cm="1">
        <f t="array" ref="AY33">INDEX(T,24+MONTH(BD33),lang) &amp; " " &amp; DAY(BD33) &amp; ", " &amp; YEAR(BD33) &amp; "   " &amp; (IF(HOUR(BD33)&lt;10,0,"")&amp;HOUR(BD33)) &amp; ":" &amp;  (IF(MINUTE(BD33)&lt;10,0,"")&amp;MINUTE(BD33))</f>
        <v>Jul 1, 2026   19:00</v>
      </c>
      <c r="AZ33" s="21"/>
      <c r="BA33" s="21"/>
      <c r="BB33" s="21"/>
      <c r="BC33" s="28"/>
      <c r="BD33" s="116">
        <f>DATE(2026,7,1)+TIME(13,0,0)+gmt_delta</f>
        <v>46204.791666666664</v>
      </c>
      <c r="BE33" s="116"/>
      <c r="BF33" s="21"/>
      <c r="BG33" s="21"/>
      <c r="BH33" s="21"/>
      <c r="BI33" s="21"/>
      <c r="BJ33" s="21"/>
      <c r="BK33" s="118"/>
      <c r="BL33" s="119"/>
      <c r="BM33" s="131"/>
      <c r="BN33" s="26" t="str">
        <f>IF(BK36&gt;BK37,BG36,IF(BK36&lt;BK37,BG37,""))</f>
        <v/>
      </c>
      <c r="BO33" s="62"/>
      <c r="BP33" s="64"/>
      <c r="BQ33" s="27"/>
      <c r="BR33" s="116">
        <f>BO33*1000+BP33*10+BQ33</f>
        <v>0</v>
      </c>
      <c r="BS33" s="116"/>
      <c r="BY33" s="118"/>
      <c r="BZ33" s="116"/>
      <c r="CA33" s="132" t="str" cm="1">
        <f t="array" ref="CA33">INDEX(T,8,lang)</f>
        <v>Final</v>
      </c>
      <c r="CB33" s="133"/>
      <c r="CC33" s="133"/>
      <c r="CD33" s="133"/>
      <c r="CE33" s="134"/>
    </row>
    <row r="34" spans="1:84" x14ac:dyDescent="0.25">
      <c r="A34" s="16">
        <v>28</v>
      </c>
      <c r="B34" s="17" t="str" cm="1">
        <f t="array" ref="B34">INDEX(T,18+INT(MOD(R34-1,7)),lang)</f>
        <v>Thu</v>
      </c>
      <c r="C34" s="18" t="str" cm="1">
        <f t="array" ref="C34">INDEX(T,24+MONTH(R34),lang) &amp; " " &amp; DAY(R34) &amp; ", " &amp; YEAR(R34)</f>
        <v>Jun 18, 2026</v>
      </c>
      <c r="D34" s="124">
        <f t="shared" si="7"/>
        <v>0.83333333333333337</v>
      </c>
      <c r="E34" s="78" t="str">
        <f>AB8</f>
        <v>Mexico</v>
      </c>
      <c r="F34" s="19"/>
      <c r="G34" s="20"/>
      <c r="H34" s="80" t="str">
        <f>AB10</f>
        <v>Korea Republic</v>
      </c>
      <c r="J34" s="33" t="str">
        <f>VLOOKUP(2,AA32:AK35,2,FALSE)</f>
        <v>Ecuador</v>
      </c>
      <c r="K34" s="23">
        <f>L34+M34+N34</f>
        <v>0</v>
      </c>
      <c r="L34" s="23">
        <f>VLOOKUP(2,AA32:AK35,3,FALSE)</f>
        <v>0</v>
      </c>
      <c r="M34" s="23">
        <f>VLOOKUP(2,AA32:AK35,4,FALSE)</f>
        <v>0</v>
      </c>
      <c r="N34" s="23">
        <f>VLOOKUP(2,AA32:AK35,5,FALSE)</f>
        <v>0</v>
      </c>
      <c r="O34" s="23" t="str">
        <f>VLOOKUP(2,AA32:AK35,6,FALSE) &amp; " - " &amp; VLOOKUP(2,AA32:AK35,7,FALSE)</f>
        <v>0 - 0</v>
      </c>
      <c r="P34" s="34">
        <f>L34*3+M34</f>
        <v>0</v>
      </c>
      <c r="R34" s="125">
        <f>DATE(2026,6,18)+TIME(14,0,0)+gmt_delta</f>
        <v>46191.833333333336</v>
      </c>
      <c r="S34" s="127" t="str">
        <f t="shared" si="1"/>
        <v/>
      </c>
      <c r="T34" s="127" t="str">
        <f t="shared" si="2"/>
        <v/>
      </c>
      <c r="U34" s="126">
        <f t="shared" si="8"/>
        <v>0</v>
      </c>
      <c r="V34" s="125">
        <f t="shared" si="3"/>
        <v>0</v>
      </c>
      <c r="W34" s="125">
        <f t="shared" si="4"/>
        <v>0</v>
      </c>
      <c r="X34" s="125">
        <f t="shared" si="5"/>
        <v>0</v>
      </c>
      <c r="Y34" s="125" t="str">
        <f t="shared" si="6"/>
        <v/>
      </c>
      <c r="AA34" s="125">
        <f>COUNTIF(AN32:AN35,CONCATENATE("&gt;=",AN34))</f>
        <v>3</v>
      </c>
      <c r="AB34" s="126" t="str">
        <f>VLOOKUP("Ivory Coast",T,lang,FALSE)</f>
        <v>Ivory Coast</v>
      </c>
      <c r="AC34" s="125">
        <f>COUNTIF($S$7:$T$78,"=" &amp; AB34 &amp; "_win")</f>
        <v>0</v>
      </c>
      <c r="AD34" s="125">
        <f>COUNTIF($S$7:$T$78,"=" &amp; AB34 &amp; "_draw")</f>
        <v>0</v>
      </c>
      <c r="AE34" s="125">
        <f>COUNTIF($S$7:$T$78,"=" &amp; AB34 &amp; "_lose")</f>
        <v>0</v>
      </c>
      <c r="AF34" s="125">
        <f>SUMIF($E$7:$E$78,$AB34,$F$7:$F$78) + SUMIF($H$7:$H$78,$AB34,$G$7:$G$78)</f>
        <v>0</v>
      </c>
      <c r="AG34" s="125">
        <f>SUMIF($E$7:$E$78,$AB34,$G$7:$G$78) + SUMIF($H$7:$H$78,$AB34,$F$7:$F$78)</f>
        <v>0</v>
      </c>
      <c r="AI34" s="125">
        <f>AF34-AG34</f>
        <v>0</v>
      </c>
      <c r="AJ34" s="125">
        <f>AI34-AI36</f>
        <v>0</v>
      </c>
      <c r="AK34" s="125">
        <f>AC34*3+AD34</f>
        <v>0</v>
      </c>
      <c r="AL34" s="125">
        <f>AK34/AK36*10000+AW34*1000+AJ34/AJ36*100+AF34/AF36*10+IF(AM34=0,ROW(),AM34)/2000000</f>
        <v>7.6648999999999999E-4</v>
      </c>
      <c r="AM34" s="125">
        <f>VLOOKUP(AB34,db_fifarank,2,FALSE)</f>
        <v>1532.98</v>
      </c>
      <c r="AN34" s="126">
        <f>AL34/AL36</f>
        <v>7.6582741760569868E-4</v>
      </c>
      <c r="AP34" s="125" cm="1">
        <f t="array" ref="AP34">SUMPRODUCT(($S$7:$S$78=AB34&amp;"_win")*($U$7:$U$78))+SUMPRODUCT(($T$7:$T$78=AB34&amp;"_win")*($U$7:$U$78))</f>
        <v>0</v>
      </c>
      <c r="AQ34" s="125" cm="1">
        <f t="array" ref="AQ34">SUMPRODUCT(($S$7:$S$78=AB34&amp;"_draw")*($U$7:$U$78))+SUMPRODUCT(($T$7:$T$78=AB34&amp;"_draw")*($U$7:$U$78))</f>
        <v>0</v>
      </c>
      <c r="AR34" s="125" cm="1">
        <f t="array" ref="AR34">SUMPRODUCT(($E$7:$E$78=AB34)*($U$7:$U$78)*($F$7:$F$78))+SUMPRODUCT(($H$7:$H$78=AB34)*($U$7:$U$78)*($G$7:$G$78))</f>
        <v>0</v>
      </c>
      <c r="AS34" s="125" cm="1">
        <f t="array" ref="AS34">SUMPRODUCT(($E$7:$E$78=AB34)*($U$7:$U$78)*($G$7:$G$78))+SUMPRODUCT(($H$7:$H$78=AB34)*($U$7:$U$78)*($F$7:$F$78))</f>
        <v>0</v>
      </c>
      <c r="AT34" s="125">
        <f>AR34-AS34</f>
        <v>0</v>
      </c>
      <c r="AU34" s="125">
        <f>AT34-MIN(AT32:AT35)</f>
        <v>0</v>
      </c>
      <c r="AV34" s="125">
        <f>AP34/AP36*1000+AQ34/AQ36*100+AU34/AU36*10+AR34/AR36</f>
        <v>0</v>
      </c>
      <c r="AW34" s="125">
        <f>AV34/AV36</f>
        <v>0</v>
      </c>
      <c r="AY34" s="130">
        <v>81</v>
      </c>
      <c r="AZ34" s="24" t="str">
        <f>AO26</f>
        <v>1D</v>
      </c>
      <c r="BA34" s="61"/>
      <c r="BB34" s="63"/>
      <c r="BC34" s="25"/>
      <c r="BD34" s="116">
        <f>BA34*1000+BB34*10+BC34</f>
        <v>0</v>
      </c>
      <c r="BE34" s="116"/>
      <c r="BF34" s="21"/>
      <c r="BG34" s="21"/>
      <c r="BH34" s="21"/>
      <c r="BI34" s="21"/>
      <c r="BJ34" s="21"/>
      <c r="BK34" s="118"/>
      <c r="BL34" s="116"/>
      <c r="BM34" s="21"/>
      <c r="BN34" s="21"/>
      <c r="BO34" s="21"/>
      <c r="BP34" s="21"/>
      <c r="BQ34" s="21"/>
      <c r="BR34" s="116"/>
      <c r="BS34" s="116"/>
      <c r="BY34" s="118"/>
      <c r="BZ34" s="116"/>
      <c r="CA34" s="135"/>
      <c r="CB34" s="136"/>
      <c r="CC34" s="136"/>
      <c r="CD34" s="136"/>
      <c r="CE34" s="137"/>
    </row>
    <row r="35" spans="1:84" x14ac:dyDescent="0.25">
      <c r="A35" s="16">
        <v>29</v>
      </c>
      <c r="B35" s="17" t="str" cm="1">
        <f t="array" ref="B35">INDEX(T,18+INT(MOD(R35-1,7)),lang)</f>
        <v>Fri</v>
      </c>
      <c r="C35" s="18" t="str" cm="1">
        <f t="array" ref="C35">INDEX(T,24+MONTH(R35),lang) &amp; " " &amp; DAY(R35) &amp; ", " &amp; YEAR(R35)</f>
        <v>Jun 19, 2026</v>
      </c>
      <c r="D35" s="124">
        <f t="shared" si="7"/>
        <v>0.8125</v>
      </c>
      <c r="E35" s="78" t="str">
        <f>AB20</f>
        <v>Brazil</v>
      </c>
      <c r="F35" s="19"/>
      <c r="G35" s="20"/>
      <c r="H35" s="80" t="str">
        <f>AB22</f>
        <v>Haiti</v>
      </c>
      <c r="J35" s="33" t="str">
        <f>VLOOKUP(3,AA32:AK35,2,FALSE)</f>
        <v>Ivory Coast</v>
      </c>
      <c r="K35" s="23">
        <f>L35+M35+N35</f>
        <v>0</v>
      </c>
      <c r="L35" s="23">
        <f>VLOOKUP(3,AA32:AK35,3,FALSE)</f>
        <v>0</v>
      </c>
      <c r="M35" s="23">
        <f>VLOOKUP(3,AA32:AK35,4,FALSE)</f>
        <v>0</v>
      </c>
      <c r="N35" s="23">
        <f>VLOOKUP(3,AA32:AK35,5,FALSE)</f>
        <v>0</v>
      </c>
      <c r="O35" s="23" t="str">
        <f>VLOOKUP(3,AA32:AK35,6,FALSE) &amp; " - " &amp; VLOOKUP(3,AA32:AK35,7,FALSE)</f>
        <v>0 - 0</v>
      </c>
      <c r="P35" s="34">
        <f>L35*3+M35</f>
        <v>0</v>
      </c>
      <c r="R35" s="125">
        <f>DATE(2026,6,19)+TIME(13,30,0)+gmt_delta</f>
        <v>46192.8125</v>
      </c>
      <c r="S35" s="127" t="str">
        <f t="shared" si="1"/>
        <v/>
      </c>
      <c r="T35" s="127" t="str">
        <f t="shared" si="2"/>
        <v/>
      </c>
      <c r="U35" s="126">
        <f t="shared" si="8"/>
        <v>0</v>
      </c>
      <c r="V35" s="125">
        <f t="shared" si="3"/>
        <v>0</v>
      </c>
      <c r="W35" s="125">
        <f t="shared" si="4"/>
        <v>0</v>
      </c>
      <c r="X35" s="125">
        <f t="shared" si="5"/>
        <v>0</v>
      </c>
      <c r="Y35" s="125" t="str">
        <f t="shared" si="6"/>
        <v/>
      </c>
      <c r="AA35" s="125">
        <f>COUNTIF(AN32:AN35,CONCATENATE("&gt;=",AN35))</f>
        <v>2</v>
      </c>
      <c r="AB35" s="126" t="str">
        <f>VLOOKUP("Ecuador",T,lang,FALSE)</f>
        <v>Ecuador</v>
      </c>
      <c r="AC35" s="125">
        <f>COUNTIF($S$7:$T$78,"=" &amp; AB35 &amp; "_win")</f>
        <v>0</v>
      </c>
      <c r="AD35" s="125">
        <f>COUNTIF($S$7:$T$78,"=" &amp; AB35 &amp; "_draw")</f>
        <v>0</v>
      </c>
      <c r="AE35" s="125">
        <f>COUNTIF($S$7:$T$78,"=" &amp; AB35 &amp; "_lose")</f>
        <v>0</v>
      </c>
      <c r="AF35" s="125">
        <f>SUMIF($E$7:$E$78,$AB35,$F$7:$F$78) + SUMIF($H$7:$H$78,$AB35,$G$7:$G$78)</f>
        <v>0</v>
      </c>
      <c r="AG35" s="125">
        <f>SUMIF($E$7:$E$78,$AB35,$G$7:$G$78) + SUMIF($H$7:$H$78,$AB35,$F$7:$F$78)</f>
        <v>0</v>
      </c>
      <c r="AI35" s="125">
        <f>AF35-AG35</f>
        <v>0</v>
      </c>
      <c r="AJ35" s="125">
        <f>AI35-AI36</f>
        <v>0</v>
      </c>
      <c r="AK35" s="125">
        <f>AC35*3+AD35</f>
        <v>0</v>
      </c>
      <c r="AL35" s="125">
        <f>AK35/AK36*10000+AW35*1000+AJ35/AJ36*100+AF35/$AF$12*10+IF(AM35=0,ROW(),AM35)/2000000</f>
        <v>7.9739000000000003E-4</v>
      </c>
      <c r="AM35" s="125">
        <f>VLOOKUP(AB35,db_fifarank,2,FALSE)</f>
        <v>1594.78</v>
      </c>
      <c r="AN35" s="126">
        <f>AL35/AL36</f>
        <v>7.9670070649924736E-4</v>
      </c>
      <c r="AP35" s="125" cm="1">
        <f t="array" ref="AP35">SUMPRODUCT(($S$7:$S$78=AB35&amp;"_win")*($U$7:$U$78))+SUMPRODUCT(($T$7:$T$78=AB35&amp;"_win")*($U$7:$U$78))</f>
        <v>0</v>
      </c>
      <c r="AQ35" s="125" cm="1">
        <f t="array" ref="AQ35">SUMPRODUCT(($S$7:$S$78=AB35&amp;"_draw")*($U$7:$U$78))+SUMPRODUCT(($T$7:$T$78=AB35&amp;"_draw")*($U$7:$U$78))</f>
        <v>0</v>
      </c>
      <c r="AR35" s="125" cm="1">
        <f t="array" ref="AR35">SUMPRODUCT(($E$7:$E$78=AB35)*($U$7:$U$78)*($F$7:$F$78))+SUMPRODUCT(($H$7:$H$78=AB35)*($U$7:$U$78)*($G$7:$G$78))</f>
        <v>0</v>
      </c>
      <c r="AS35" s="125" cm="1">
        <f t="array" ref="AS35">SUMPRODUCT(($E$7:$E$78=AB35)*($U$7:$U$78)*($G$7:$G$78))+SUMPRODUCT(($H$7:$H$78=AB35)*($U$7:$U$78)*($F$7:$F$78))</f>
        <v>0</v>
      </c>
      <c r="AT35" s="125">
        <f>AR35-AS35</f>
        <v>0</v>
      </c>
      <c r="AU35" s="125">
        <f>AT35-MIN(AT32:AT35)</f>
        <v>0</v>
      </c>
      <c r="AV35" s="125">
        <f>AP35/AP36*1000+AQ35/AQ36*100+AU35/AU36*10+AR35/AR36</f>
        <v>0</v>
      </c>
      <c r="AW35" s="125">
        <f>AV35/AV36</f>
        <v>0</v>
      </c>
      <c r="AY35" s="131"/>
      <c r="AZ35" s="26" t="str">
        <f>IF(group_round_completed,VLOOKUP('3rd places'!F3,AH80:AO91,8,FALSE),"3rd Group B/E/F/I/J")</f>
        <v>3rd Group B/E/F/I/J</v>
      </c>
      <c r="BA35" s="62"/>
      <c r="BB35" s="64"/>
      <c r="BC35" s="27"/>
      <c r="BD35" s="117">
        <f>BA35*1000+BB35*10+BC35</f>
        <v>0</v>
      </c>
      <c r="BE35" s="116"/>
      <c r="BF35" s="21" t="str" cm="1">
        <f t="array" ref="BF35">INDEX(T,24+MONTH(BK35),lang) &amp; " " &amp; DAY(BK35) &amp; ", " &amp; YEAR(BK35) &amp; "   " &amp; (IF(HOUR(BK35)&lt;10,0,"")&amp;HOUR(BK35)) &amp; ":" &amp;  (IF(MINUTE(BK35)&lt;10,0,"")&amp;MINUTE(BK35))</f>
        <v>Jul 6, 2026   19:00</v>
      </c>
      <c r="BG35" s="21"/>
      <c r="BH35" s="21"/>
      <c r="BI35" s="21"/>
      <c r="BJ35" s="28"/>
      <c r="BK35" s="118">
        <f>DATE(2026,7,6)+TIME(13,0,0)+gmt_delta</f>
        <v>46209.791666666664</v>
      </c>
      <c r="BL35" s="116"/>
      <c r="BM35" s="21"/>
      <c r="BN35" s="21"/>
      <c r="BO35" s="21"/>
      <c r="BP35" s="21"/>
      <c r="BQ35" s="21"/>
      <c r="BR35" s="116"/>
      <c r="BS35" s="116"/>
      <c r="BY35" s="118"/>
      <c r="BZ35" s="116"/>
    </row>
    <row r="36" spans="1:84" x14ac:dyDescent="0.25">
      <c r="A36" s="16">
        <v>30</v>
      </c>
      <c r="B36" s="17" t="str" cm="1">
        <f t="array" ref="B36">INDEX(T,18+INT(MOD(R36-1,7)),lang)</f>
        <v>Fri</v>
      </c>
      <c r="C36" s="18" t="str" cm="1">
        <f t="array" ref="C36">INDEX(T,24+MONTH(R36),lang) &amp; " " &amp; DAY(R36) &amp; ", " &amp; YEAR(R36)</f>
        <v>Jun 19, 2026</v>
      </c>
      <c r="D36" s="124">
        <f t="shared" si="7"/>
        <v>0.70833333333333337</v>
      </c>
      <c r="E36" s="78" t="str">
        <f>AB23</f>
        <v>Scotland</v>
      </c>
      <c r="F36" s="19"/>
      <c r="G36" s="20"/>
      <c r="H36" s="80" t="str">
        <f>AB21</f>
        <v>Morocco</v>
      </c>
      <c r="J36" s="35" t="str">
        <f>VLOOKUP(4,AA32:AK35,2,FALSE)</f>
        <v>Curaçao</v>
      </c>
      <c r="K36" s="36">
        <f>L36+M36+N36</f>
        <v>0</v>
      </c>
      <c r="L36" s="36">
        <f>VLOOKUP(4,AA32:AK35,3,FALSE)</f>
        <v>0</v>
      </c>
      <c r="M36" s="36">
        <f>VLOOKUP(4,AA32:AK35,4,FALSE)</f>
        <v>0</v>
      </c>
      <c r="N36" s="36">
        <f>VLOOKUP(4,AA32:AK35,5,FALSE)</f>
        <v>0</v>
      </c>
      <c r="O36" s="36" t="str">
        <f>VLOOKUP(4,AA32:AK35,6,FALSE) &amp; " - " &amp; VLOOKUP(4,AA32:AK35,7,FALSE)</f>
        <v>0 - 0</v>
      </c>
      <c r="P36" s="37">
        <f>L36*3+M36</f>
        <v>0</v>
      </c>
      <c r="R36" s="125">
        <f>DATE(2026,6,19)+TIME(11,0,0)+gmt_delta</f>
        <v>46192.708333333336</v>
      </c>
      <c r="S36" s="127" t="str">
        <f t="shared" si="1"/>
        <v/>
      </c>
      <c r="T36" s="127" t="str">
        <f t="shared" si="2"/>
        <v/>
      </c>
      <c r="U36" s="126">
        <f t="shared" si="8"/>
        <v>0</v>
      </c>
      <c r="V36" s="125">
        <f t="shared" si="3"/>
        <v>0</v>
      </c>
      <c r="W36" s="125">
        <f t="shared" si="4"/>
        <v>0</v>
      </c>
      <c r="X36" s="125">
        <f t="shared" si="5"/>
        <v>0</v>
      </c>
      <c r="Y36" s="125" t="str">
        <f t="shared" si="6"/>
        <v/>
      </c>
      <c r="AC36" s="125">
        <f t="shared" ref="AC36:AE36" si="13">MAX(AC32:AC35)-MIN(AC32:AC35)+1</f>
        <v>1</v>
      </c>
      <c r="AD36" s="125">
        <f t="shared" si="13"/>
        <v>1</v>
      </c>
      <c r="AE36" s="125">
        <f t="shared" si="13"/>
        <v>1</v>
      </c>
      <c r="AF36" s="125">
        <f>MAX(AF32:AF35)+1</f>
        <v>1</v>
      </c>
      <c r="AI36" s="125">
        <f>MIN(AI32:AI35)</f>
        <v>0</v>
      </c>
      <c r="AJ36" s="125">
        <f>MAX(AJ32:AJ35)+1</f>
        <v>1</v>
      </c>
      <c r="AK36" s="125">
        <f>MAX(AK32:AK35)+1</f>
        <v>1</v>
      </c>
      <c r="AL36" s="125">
        <f>MAX(AL32:AL35)+1</f>
        <v>1.0008651850000001</v>
      </c>
      <c r="AP36" s="125">
        <f>MAX(AP32:AP35)-MIN(AP32:AP35)+1</f>
        <v>1</v>
      </c>
      <c r="AQ36" s="125">
        <f>MAX(AQ32:AQ35)-MIN(AQ32:AQ35)+1</f>
        <v>1</v>
      </c>
      <c r="AR36" s="125">
        <f>MAX(AR32:AR35)-MIN(AR32:AR35)+1</f>
        <v>1</v>
      </c>
      <c r="AS36" s="125">
        <f>MAX(AS32:AS35)-MIN(AS32:AS35)+1</f>
        <v>1</v>
      </c>
      <c r="AU36" s="125">
        <f>MAX(AU32:AU35)-MIN(AU32:AU35)+1</f>
        <v>1</v>
      </c>
      <c r="AV36" s="125">
        <f>MAX(AV32:AV35)+1</f>
        <v>1</v>
      </c>
      <c r="AY36" s="21"/>
      <c r="AZ36" s="21"/>
      <c r="BA36" s="21"/>
      <c r="BB36" s="21"/>
      <c r="BC36" s="21"/>
      <c r="BD36" s="118"/>
      <c r="BE36" s="116"/>
      <c r="BF36" s="130">
        <v>94</v>
      </c>
      <c r="BG36" s="112" t="str">
        <f>IF(BD34&gt;BD35,AZ34,IF(BD34&lt;BD35,AZ35,""))</f>
        <v/>
      </c>
      <c r="BH36" s="61"/>
      <c r="BI36" s="63"/>
      <c r="BJ36" s="25"/>
      <c r="BK36" s="120">
        <f>BH36*1000+BI36*10+BJ36</f>
        <v>0</v>
      </c>
      <c r="BL36" s="116"/>
      <c r="BM36" s="21"/>
      <c r="BN36" s="21"/>
      <c r="BO36" s="21"/>
      <c r="BP36" s="21"/>
      <c r="BQ36" s="21"/>
      <c r="BR36" s="116"/>
      <c r="BS36" s="116"/>
      <c r="BY36" s="118"/>
      <c r="BZ36" s="116"/>
      <c r="CA36" s="21" t="str" cm="1">
        <f t="array" ref="CA36">INDEX(T,24+MONTH(CF36),lang) &amp; " " &amp; DAY(CF36) &amp; ", " &amp; YEAR(CF36) &amp; "   " &amp; (IF(HOUR(CF36)&lt;10,0,"")&amp;HOUR(CF36)) &amp; ":" &amp;  (IF(MINUTE(CF36)&lt;10,0,"")&amp;MINUTE(CF36))</f>
        <v>Jul 19, 2026   14:00</v>
      </c>
      <c r="CB36" s="21"/>
      <c r="CC36" s="21"/>
      <c r="CD36" s="21"/>
      <c r="CE36" s="28"/>
      <c r="CF36" s="115">
        <f>DATE(2026,7,19)+TIME(8,0,0)+gmt_delta</f>
        <v>46222.583333333336</v>
      </c>
    </row>
    <row r="37" spans="1:84" x14ac:dyDescent="0.25">
      <c r="A37" s="16">
        <v>31</v>
      </c>
      <c r="B37" s="17" t="str" cm="1">
        <f t="array" ref="B37">INDEX(T,18+INT(MOD(R37-1,7)),lang)</f>
        <v>Fri</v>
      </c>
      <c r="C37" s="18" t="str" cm="1">
        <f t="array" ref="C37">INDEX(T,24+MONTH(R37),lang) &amp; " " &amp; DAY(R37) &amp; ", " &amp; YEAR(R37)</f>
        <v>Jun 19, 2026</v>
      </c>
      <c r="D37" s="124">
        <f t="shared" si="7"/>
        <v>0.91666666666666663</v>
      </c>
      <c r="E37" s="78" t="str">
        <f>AB26</f>
        <v>United States</v>
      </c>
      <c r="F37" s="19"/>
      <c r="G37" s="20"/>
      <c r="H37" s="80" t="str">
        <f>AB28</f>
        <v>Australia</v>
      </c>
      <c r="R37" s="125">
        <f>DATE(2026,6,19)+TIME(16,0,0)+gmt_delta</f>
        <v>46192.916666666664</v>
      </c>
      <c r="S37" s="127" t="str">
        <f t="shared" si="1"/>
        <v/>
      </c>
      <c r="T37" s="127" t="str">
        <f t="shared" si="2"/>
        <v/>
      </c>
      <c r="U37" s="126">
        <f t="shared" si="8"/>
        <v>0</v>
      </c>
      <c r="V37" s="125">
        <f t="shared" si="3"/>
        <v>0</v>
      </c>
      <c r="W37" s="125">
        <f t="shared" si="4"/>
        <v>0</v>
      </c>
      <c r="X37" s="125">
        <f t="shared" si="5"/>
        <v>0</v>
      </c>
      <c r="Y37" s="125" t="str">
        <f t="shared" si="6"/>
        <v/>
      </c>
      <c r="AY37" s="21" t="str" cm="1">
        <f t="array" ref="AY37">INDEX(T,24+MONTH(BD37),lang) &amp; " " &amp; DAY(BD37) &amp; ", " &amp; YEAR(BD37) &amp; "   " &amp; (IF(HOUR(BD37)&lt;10,0,"")&amp;HOUR(BD37)) &amp; ":" &amp;  (IF(MINUTE(BD37)&lt;10,0,"")&amp;MINUTE(BD37))</f>
        <v>Jul 1, 2026   15:00</v>
      </c>
      <c r="AZ37" s="21"/>
      <c r="BA37" s="21"/>
      <c r="BB37" s="21"/>
      <c r="BC37" s="28"/>
      <c r="BD37" s="118">
        <f>DATE(2026,7,1)+TIME(9,0,0)+gmt_delta</f>
        <v>46204.625</v>
      </c>
      <c r="BE37" s="119"/>
      <c r="BF37" s="131"/>
      <c r="BG37" s="26" t="str">
        <f>IF(BD38&gt;BD39,AZ38,IF(BD38&lt;BD39,AZ39,""))</f>
        <v/>
      </c>
      <c r="BH37" s="62"/>
      <c r="BI37" s="64"/>
      <c r="BJ37" s="27"/>
      <c r="BK37" s="116">
        <f>BH37*1000+BI37*10+BJ37</f>
        <v>0</v>
      </c>
      <c r="BL37" s="116"/>
      <c r="BM37" s="21"/>
      <c r="BN37" s="21"/>
      <c r="BO37" s="21"/>
      <c r="BP37" s="21"/>
      <c r="BQ37" s="21"/>
      <c r="BR37" s="116"/>
      <c r="BS37" s="116"/>
      <c r="BT37" s="21"/>
      <c r="BU37" s="21"/>
      <c r="BV37" s="21"/>
      <c r="BW37" s="21"/>
      <c r="BX37" s="21"/>
      <c r="BY37" s="118"/>
      <c r="BZ37" s="116"/>
      <c r="CA37" s="130">
        <v>104</v>
      </c>
      <c r="CB37" s="112" t="str">
        <f>IF(BY23&gt;BY24,BU23,IF(BY23&lt;BY24,BU24,""))</f>
        <v/>
      </c>
      <c r="CC37" s="61"/>
      <c r="CD37" s="63"/>
      <c r="CE37" s="25"/>
      <c r="CF37" s="115">
        <f>CC37*1000+CD37*10+CE37</f>
        <v>0</v>
      </c>
    </row>
    <row r="38" spans="1:84" x14ac:dyDescent="0.25">
      <c r="A38" s="16">
        <v>32</v>
      </c>
      <c r="B38" s="17" t="str" cm="1">
        <f t="array" ref="B38">INDEX(T,18+INT(MOD(R38-1,7)),lang)</f>
        <v>Sat</v>
      </c>
      <c r="C38" s="18" t="str" cm="1">
        <f t="array" ref="C38">INDEX(T,24+MONTH(R38),lang) &amp; " " &amp; DAY(R38) &amp; ", " &amp; YEAR(R38)</f>
        <v>Jun 20, 2026</v>
      </c>
      <c r="D38" s="124">
        <f t="shared" si="7"/>
        <v>8.3333333333333329E-2</v>
      </c>
      <c r="E38" s="78" t="str">
        <f>AB29</f>
        <v>Turkey</v>
      </c>
      <c r="F38" s="19"/>
      <c r="G38" s="20"/>
      <c r="H38" s="80" t="str">
        <f>AB27</f>
        <v>Paraguay</v>
      </c>
      <c r="J38" s="38" t="str" cm="1">
        <f t="array" ref="J38">INDEX(T,9,lang) &amp; " " &amp; "F"</f>
        <v>Group F</v>
      </c>
      <c r="K38" s="94" t="str" cm="1">
        <f t="array" ref="K38">INDEX(T,10,lang)</f>
        <v>PL</v>
      </c>
      <c r="L38" s="94" t="str" cm="1">
        <f t="array" ref="L38">INDEX(T,11,lang)</f>
        <v>W</v>
      </c>
      <c r="M38" s="94" t="str" cm="1">
        <f t="array" ref="M38">INDEX(T,12,lang)</f>
        <v>DRAW</v>
      </c>
      <c r="N38" s="94" t="str" cm="1">
        <f t="array" ref="N38">INDEX(T,13,lang)</f>
        <v>L</v>
      </c>
      <c r="O38" s="94" t="str" cm="1">
        <f t="array" ref="O38">INDEX(T,14,lang)</f>
        <v>GF - GA</v>
      </c>
      <c r="P38" s="95" t="str" cm="1">
        <f t="array" ref="P38">INDEX(T,15,lang)</f>
        <v>PNT</v>
      </c>
      <c r="R38" s="125">
        <f>DATE(2026,6,19)+TIME(20,0,0)+gmt_delta</f>
        <v>46193.083333333336</v>
      </c>
      <c r="S38" s="127" t="str">
        <f t="shared" si="1"/>
        <v/>
      </c>
      <c r="T38" s="127" t="str">
        <f t="shared" si="2"/>
        <v/>
      </c>
      <c r="U38" s="126">
        <f t="shared" si="8"/>
        <v>0</v>
      </c>
      <c r="V38" s="125">
        <f t="shared" si="3"/>
        <v>0</v>
      </c>
      <c r="W38" s="125">
        <f t="shared" si="4"/>
        <v>0</v>
      </c>
      <c r="X38" s="125">
        <f t="shared" si="5"/>
        <v>0</v>
      </c>
      <c r="Y38" s="125" t="str">
        <f t="shared" si="6"/>
        <v/>
      </c>
      <c r="AA38" s="125">
        <f>COUNTIF(AN38:AN41,CONCATENATE("&gt;=",AN38))</f>
        <v>1</v>
      </c>
      <c r="AB38" s="126" t="str">
        <f>VLOOKUP("Netherlands",T,lang,FALSE)</f>
        <v>Netherlands</v>
      </c>
      <c r="AC38" s="125">
        <f>COUNTIF($S$7:$T$78,"=" &amp; AB38 &amp; "_win")</f>
        <v>0</v>
      </c>
      <c r="AD38" s="125">
        <f>COUNTIF($S$7:$T$78,"=" &amp; AB38 &amp; "_draw")</f>
        <v>0</v>
      </c>
      <c r="AE38" s="125">
        <f>COUNTIF($S$7:$T$78,"=" &amp; AB38 &amp; "_lose")</f>
        <v>0</v>
      </c>
      <c r="AF38" s="125">
        <f>SUMIF($E$7:$E$78,$AB38,$F$7:$F$78) + SUMIF($H$7:$H$78,$AB38,$G$7:$G$78)</f>
        <v>0</v>
      </c>
      <c r="AG38" s="125">
        <f>SUMIF($E$7:$E$78,$AB38,$G$7:$G$78) + SUMIF($H$7:$H$78,$AB38,$F$7:$F$78)</f>
        <v>0</v>
      </c>
      <c r="AI38" s="125">
        <f>AF38-AG38</f>
        <v>0</v>
      </c>
      <c r="AJ38" s="125">
        <f>AI38-AI42</f>
        <v>0</v>
      </c>
      <c r="AK38" s="125">
        <f>AC38*3+AD38</f>
        <v>0</v>
      </c>
      <c r="AL38" s="125">
        <f>AK38/AK42*10000+AW38*1000+AJ38/AJ42*100+AF38/AF42*10+IF(AM38=0,ROW(),AM38)/2000000</f>
        <v>8.7893499999999996E-4</v>
      </c>
      <c r="AM38" s="125">
        <f>VLOOKUP(AB38,db_fifarank,2,FALSE)</f>
        <v>1757.87</v>
      </c>
      <c r="AN38" s="126">
        <f>AL38/AL42</f>
        <v>8.7816315167028663E-4</v>
      </c>
      <c r="AO38" s="126" t="str">
        <f>IF(SUM(AC38:AE41)=12,J39,"1F")</f>
        <v>1F</v>
      </c>
      <c r="AP38" s="125" cm="1">
        <f t="array" ref="AP38">SUMPRODUCT(($S$7:$S$78=AB38&amp;"_win")*($U$7:$U$78))+SUMPRODUCT(($T$7:$T$78=AB38&amp;"_win")*($U$7:$U$78))</f>
        <v>0</v>
      </c>
      <c r="AQ38" s="125" cm="1">
        <f t="array" ref="AQ38">SUMPRODUCT(($S$7:$S$78=AB38&amp;"_draw")*($U$7:$U$78))+SUMPRODUCT(($T$7:$T$78=AB38&amp;"_draw")*($U$7:$U$78))</f>
        <v>0</v>
      </c>
      <c r="AR38" s="125" cm="1">
        <f t="array" ref="AR38">SUMPRODUCT(($E$7:$E$78=AB38)*($U$7:$U$78)*($F$7:$F$78))+SUMPRODUCT(($H$7:$H$78=AB38)*($U$7:$U$78)*($G$7:$G$78))</f>
        <v>0</v>
      </c>
      <c r="AS38" s="125" cm="1">
        <f t="array" ref="AS38">SUMPRODUCT(($E$7:$E$78=AB38)*($U$7:$U$78)*($G$7:$G$78))+SUMPRODUCT(($H$7:$H$78=AB38)*($U$7:$U$78)*($F$7:$F$78))</f>
        <v>0</v>
      </c>
      <c r="AT38" s="125">
        <f>AR38-AS38</f>
        <v>0</v>
      </c>
      <c r="AU38" s="125">
        <f>AT38-MIN(AT38:AT41)</f>
        <v>0</v>
      </c>
      <c r="AV38" s="125">
        <f>AP38/AP42*1000+AQ38/AQ42*100+AU38/AU42*10+AR38/AR42</f>
        <v>0</v>
      </c>
      <c r="AW38" s="125">
        <f>AV38/AV42</f>
        <v>0</v>
      </c>
      <c r="AY38" s="130">
        <v>82</v>
      </c>
      <c r="AZ38" s="24" t="str">
        <f>AO44</f>
        <v>1G</v>
      </c>
      <c r="BA38" s="61"/>
      <c r="BB38" s="63"/>
      <c r="BC38" s="25"/>
      <c r="BD38" s="120">
        <f>BA38*1000+BB38*10+BC38</f>
        <v>0</v>
      </c>
      <c r="BE38" s="116"/>
      <c r="BK38" s="116"/>
      <c r="BL38" s="116"/>
      <c r="BM38" s="21"/>
      <c r="BN38" s="21"/>
      <c r="BO38" s="21"/>
      <c r="BP38" s="21"/>
      <c r="BQ38" s="21"/>
      <c r="BR38" s="116"/>
      <c r="BS38" s="116"/>
      <c r="BT38" s="21"/>
      <c r="BU38" s="21"/>
      <c r="BV38" s="21"/>
      <c r="BW38" s="21"/>
      <c r="BX38" s="21"/>
      <c r="BZ38" s="119"/>
      <c r="CA38" s="131"/>
      <c r="CB38" s="26" t="str">
        <f>IF(BY55&gt;BY56,BU55,IF(BY55&lt;BY56,BU56,""))</f>
        <v/>
      </c>
      <c r="CC38" s="62"/>
      <c r="CD38" s="64"/>
      <c r="CE38" s="27"/>
      <c r="CF38" s="115">
        <f>CC38*1000+CD38*10+CE38</f>
        <v>0</v>
      </c>
    </row>
    <row r="39" spans="1:84" x14ac:dyDescent="0.25">
      <c r="A39" s="16">
        <v>33</v>
      </c>
      <c r="B39" s="17" t="str" cm="1">
        <f t="array" ref="B39">INDEX(T,18+INT(MOD(R39-1,7)),lang)</f>
        <v>Sat</v>
      </c>
      <c r="C39" s="18" t="str" cm="1">
        <f t="array" ref="C39">INDEX(T,24+MONTH(R39),lang) &amp; " " &amp; DAY(R39) &amp; ", " &amp; YEAR(R39)</f>
        <v>Jun 20, 2026</v>
      </c>
      <c r="D39" s="124">
        <f t="shared" si="7"/>
        <v>0.625</v>
      </c>
      <c r="E39" s="78" t="str">
        <f>AB32</f>
        <v>Germany</v>
      </c>
      <c r="F39" s="19"/>
      <c r="G39" s="20"/>
      <c r="H39" s="80" t="str">
        <f>AB34</f>
        <v>Ivory Coast</v>
      </c>
      <c r="J39" s="30" t="str">
        <f>VLOOKUP(1,AA38:AK41,2,FALSE)</f>
        <v>Netherlands</v>
      </c>
      <c r="K39" s="31">
        <f>L39+M39+N39</f>
        <v>0</v>
      </c>
      <c r="L39" s="31">
        <f>VLOOKUP(1,AA38:AK41,3,FALSE)</f>
        <v>0</v>
      </c>
      <c r="M39" s="31">
        <f>VLOOKUP(1,AA38:AK41,4,FALSE)</f>
        <v>0</v>
      </c>
      <c r="N39" s="31">
        <f>VLOOKUP(1,AA38:AK41,5,FALSE)</f>
        <v>0</v>
      </c>
      <c r="O39" s="31" t="str">
        <f>VLOOKUP(1,AA38:AK41,6,FALSE) &amp; " - " &amp; VLOOKUP(1,AA38:AK41,7,FALSE)</f>
        <v>0 - 0</v>
      </c>
      <c r="P39" s="32">
        <f>L39*3+M39</f>
        <v>0</v>
      </c>
      <c r="R39" s="125">
        <f>DATE(2026,6,20)+TIME(9,0,0)+gmt_delta</f>
        <v>46193.625</v>
      </c>
      <c r="S39" s="127" t="str">
        <f t="shared" si="1"/>
        <v/>
      </c>
      <c r="T39" s="127" t="str">
        <f t="shared" si="2"/>
        <v/>
      </c>
      <c r="U39" s="126">
        <f t="shared" si="8"/>
        <v>0</v>
      </c>
      <c r="V39" s="125">
        <f t="shared" si="3"/>
        <v>0</v>
      </c>
      <c r="W39" s="125">
        <f t="shared" si="4"/>
        <v>0</v>
      </c>
      <c r="X39" s="125">
        <f t="shared" si="5"/>
        <v>0</v>
      </c>
      <c r="Y39" s="125" t="str">
        <f t="shared" si="6"/>
        <v/>
      </c>
      <c r="AA39" s="125">
        <f>COUNTIF(AN38:AN41,CONCATENATE("&gt;=",AN39))</f>
        <v>2</v>
      </c>
      <c r="AB39" s="126" t="str">
        <f>VLOOKUP("Japan",T,lang,FALSE)</f>
        <v>Japan</v>
      </c>
      <c r="AC39" s="125">
        <f>COUNTIF($S$7:$T$78,"=" &amp; AB39 &amp; "_win")</f>
        <v>0</v>
      </c>
      <c r="AD39" s="125">
        <f>COUNTIF($S$7:$T$78,"=" &amp; AB39 &amp; "_draw")</f>
        <v>0</v>
      </c>
      <c r="AE39" s="125">
        <f>COUNTIF($S$7:$T$78,"=" &amp; AB39 &amp; "_lose")</f>
        <v>0</v>
      </c>
      <c r="AF39" s="125">
        <f>SUMIF($E$7:$E$78,$AB39,$F$7:$F$78) + SUMIF($H$7:$H$78,$AB39,$G$7:$G$78)</f>
        <v>0</v>
      </c>
      <c r="AG39" s="125">
        <f>SUMIF($E$7:$E$78,$AB39,$G$7:$G$78) + SUMIF($H$7:$H$78,$AB39,$F$7:$F$78)</f>
        <v>0</v>
      </c>
      <c r="AI39" s="125">
        <f>AF39-AG39</f>
        <v>0</v>
      </c>
      <c r="AJ39" s="125">
        <f>AI39-AI42</f>
        <v>0</v>
      </c>
      <c r="AK39" s="125">
        <f>AC39*3+AD39</f>
        <v>0</v>
      </c>
      <c r="AL39" s="125">
        <f>AK39/AK42*10000+AW39*1000+AJ39/AJ42*100+AF39/AF42*10+IF(AM39=0,ROW(),AM39)/2000000</f>
        <v>8.3021500000000003E-4</v>
      </c>
      <c r="AM39" s="125">
        <f>VLOOKUP(AB39,db_fifarank,2,FALSE)</f>
        <v>1660.43</v>
      </c>
      <c r="AN39" s="126">
        <f>AL39/AL42</f>
        <v>8.2948593577903611E-4</v>
      </c>
      <c r="AO39" s="126" t="str">
        <f>IF(SUM(AC38:AE41)=12,J40,"2F")</f>
        <v>2F</v>
      </c>
      <c r="AP39" s="125" cm="1">
        <f t="array" ref="AP39">SUMPRODUCT(($S$7:$S$78=AB39&amp;"_win")*($U$7:$U$78))+SUMPRODUCT(($T$7:$T$78=AB39&amp;"_win")*($U$7:$U$78))</f>
        <v>0</v>
      </c>
      <c r="AQ39" s="125" cm="1">
        <f t="array" ref="AQ39">SUMPRODUCT(($S$7:$S$78=AB39&amp;"_draw")*($U$7:$U$78))+SUMPRODUCT(($T$7:$T$78=AB39&amp;"_draw")*($U$7:$U$78))</f>
        <v>0</v>
      </c>
      <c r="AR39" s="125" cm="1">
        <f t="array" ref="AR39">SUMPRODUCT(($E$7:$E$78=AB39)*($U$7:$U$78)*($F$7:$F$78))+SUMPRODUCT(($H$7:$H$78=AB39)*($U$7:$U$78)*($G$7:$G$78))</f>
        <v>0</v>
      </c>
      <c r="AS39" s="125" cm="1">
        <f t="array" ref="AS39">SUMPRODUCT(($E$7:$E$78=AB39)*($U$7:$U$78)*($G$7:$G$78))+SUMPRODUCT(($H$7:$H$78=AB39)*($U$7:$U$78)*($F$7:$F$78))</f>
        <v>0</v>
      </c>
      <c r="AT39" s="125">
        <f>AR39-AS39</f>
        <v>0</v>
      </c>
      <c r="AU39" s="125">
        <f>AT39-MIN(AT38:AT41)</f>
        <v>0</v>
      </c>
      <c r="AV39" s="125">
        <f>AP39/AP42*1000+AQ39/AQ42*100+AU39/AU42*10+AR39/AR42</f>
        <v>0</v>
      </c>
      <c r="AW39" s="125">
        <f>AV39/AV42</f>
        <v>0</v>
      </c>
      <c r="AY39" s="131"/>
      <c r="AZ39" s="26" t="str">
        <f>IF(group_round_completed,VLOOKUP('3rd places'!H3,AH80:AO91,8,FALSE),"3rd Group A/E/H/I/J")</f>
        <v>3rd Group A/E/H/I/J</v>
      </c>
      <c r="BA39" s="62"/>
      <c r="BB39" s="64"/>
      <c r="BC39" s="27"/>
      <c r="BD39" s="116">
        <f>BA39*1000+BB39*10+BC39</f>
        <v>0</v>
      </c>
      <c r="BE39" s="116"/>
      <c r="BM39" s="21"/>
      <c r="BN39" s="21"/>
      <c r="BO39" s="21"/>
      <c r="BP39" s="21"/>
      <c r="BQ39" s="21"/>
      <c r="BR39" s="116"/>
      <c r="BS39" s="116"/>
      <c r="BT39" s="21"/>
      <c r="BU39" s="21"/>
      <c r="BV39" s="21"/>
      <c r="BW39" s="21"/>
      <c r="BX39" s="21"/>
      <c r="BY39" s="118"/>
      <c r="BZ39" s="116"/>
      <c r="CA39" s="21"/>
      <c r="CB39" s="21"/>
      <c r="CC39" s="21"/>
      <c r="CD39" s="21"/>
      <c r="CE39" s="21"/>
    </row>
    <row r="40" spans="1:84" x14ac:dyDescent="0.25">
      <c r="A40" s="16">
        <v>34</v>
      </c>
      <c r="B40" s="17" t="str" cm="1">
        <f t="array" ref="B40">INDEX(T,18+INT(MOD(R40-1,7)),lang)</f>
        <v>Sat</v>
      </c>
      <c r="C40" s="18" t="str" cm="1">
        <f t="array" ref="C40">INDEX(T,24+MONTH(R40),lang) &amp; " " &amp; DAY(R40) &amp; ", " &amp; YEAR(R40)</f>
        <v>Jun 20, 2026</v>
      </c>
      <c r="D40" s="124">
        <f t="shared" si="7"/>
        <v>0.79166666666666663</v>
      </c>
      <c r="E40" s="78" t="str">
        <f>AB35</f>
        <v>Ecuador</v>
      </c>
      <c r="F40" s="19"/>
      <c r="G40" s="20"/>
      <c r="H40" s="80" t="str">
        <f>AB33</f>
        <v>Curaçao</v>
      </c>
      <c r="J40" s="33" t="str">
        <f>VLOOKUP(2,AA38:AK41,2,FALSE)</f>
        <v>Japan</v>
      </c>
      <c r="K40" s="23">
        <f>L40+M40+N40</f>
        <v>0</v>
      </c>
      <c r="L40" s="23">
        <f>VLOOKUP(2,AA38:AK41,3,FALSE)</f>
        <v>0</v>
      </c>
      <c r="M40" s="23">
        <f>VLOOKUP(2,AA38:AK41,4,FALSE)</f>
        <v>0</v>
      </c>
      <c r="N40" s="23">
        <f>VLOOKUP(2,AA38:AK41,5,FALSE)</f>
        <v>0</v>
      </c>
      <c r="O40" s="23" t="str">
        <f>VLOOKUP(2,AA38:AK41,6,FALSE) &amp; " - " &amp; VLOOKUP(2,AA38:AK41,7,FALSE)</f>
        <v>0 - 0</v>
      </c>
      <c r="P40" s="34">
        <f>L40*3+M40</f>
        <v>0</v>
      </c>
      <c r="R40" s="125">
        <f>DATE(2026,6,20)+TIME(13,0,0)+gmt_delta</f>
        <v>46193.791666666664</v>
      </c>
      <c r="S40" s="127" t="str">
        <f t="shared" si="1"/>
        <v/>
      </c>
      <c r="T40" s="127" t="str">
        <f t="shared" si="2"/>
        <v/>
      </c>
      <c r="U40" s="126">
        <f t="shared" si="8"/>
        <v>0</v>
      </c>
      <c r="V40" s="125">
        <f t="shared" si="3"/>
        <v>0</v>
      </c>
      <c r="W40" s="125">
        <f t="shared" si="4"/>
        <v>0</v>
      </c>
      <c r="X40" s="125">
        <f t="shared" si="5"/>
        <v>0</v>
      </c>
      <c r="Y40" s="125" t="str">
        <f t="shared" si="6"/>
        <v/>
      </c>
      <c r="AA40" s="125">
        <f>COUNTIF(AN38:AN41,CONCATENATE("&gt;=",AN40))</f>
        <v>3</v>
      </c>
      <c r="AB40" s="126" t="str">
        <f>VLOOKUP("Sweden",T,lang,FALSE)</f>
        <v>Sweden</v>
      </c>
      <c r="AC40" s="125">
        <f>COUNTIF($S$7:$T$78,"=" &amp; AB40 &amp; "_win")</f>
        <v>0</v>
      </c>
      <c r="AD40" s="125">
        <f>COUNTIF($S$7:$T$78,"=" &amp; AB40 &amp; "_draw")</f>
        <v>0</v>
      </c>
      <c r="AE40" s="125">
        <f>COUNTIF($S$7:$T$78,"=" &amp; AB40 &amp; "_lose")</f>
        <v>0</v>
      </c>
      <c r="AF40" s="125">
        <f>SUMIF($E$7:$E$78,$AB40,$F$7:$F$78) + SUMIF($H$7:$H$78,$AB40,$G$7:$G$78)</f>
        <v>0</v>
      </c>
      <c r="AG40" s="125">
        <f>SUMIF($E$7:$E$78,$AB40,$G$7:$G$78) + SUMIF($H$7:$H$78,$AB40,$F$7:$F$78)</f>
        <v>0</v>
      </c>
      <c r="AI40" s="125">
        <f>AF40-AG40</f>
        <v>0</v>
      </c>
      <c r="AJ40" s="125">
        <f>AI40-AI42</f>
        <v>0</v>
      </c>
      <c r="AK40" s="125">
        <f>AC40*3+AD40</f>
        <v>0</v>
      </c>
      <c r="AL40" s="125">
        <f>AK40/AK42*10000+AW40*1000+AJ40/AJ42*100+AF40/AF42*10+IF(AM40=0,ROW(),AM40)/2000000</f>
        <v>7.5738499999999996E-4</v>
      </c>
      <c r="AM40" s="125">
        <f>VLOOKUP(AB40,db_fifarank,2,FALSE)</f>
        <v>1514.77</v>
      </c>
      <c r="AN40" s="126">
        <f>AL40/AL42</f>
        <v>7.5671989240137219E-4</v>
      </c>
      <c r="AP40" s="125" cm="1">
        <f t="array" ref="AP40">SUMPRODUCT(($S$7:$S$78=AB40&amp;"_win")*($U$7:$U$78))+SUMPRODUCT(($T$7:$T$78=AB40&amp;"_win")*($U$7:$U$78))</f>
        <v>0</v>
      </c>
      <c r="AQ40" s="125" cm="1">
        <f t="array" ref="AQ40">SUMPRODUCT(($S$7:$S$78=AB40&amp;"_draw")*($U$7:$U$78))+SUMPRODUCT(($T$7:$T$78=AB40&amp;"_draw")*($U$7:$U$78))</f>
        <v>0</v>
      </c>
      <c r="AR40" s="125" cm="1">
        <f t="array" ref="AR40">SUMPRODUCT(($E$7:$E$78=AB40)*($U$7:$U$78)*($F$7:$F$78))+SUMPRODUCT(($H$7:$H$78=AB40)*($U$7:$U$78)*($G$7:$G$78))</f>
        <v>0</v>
      </c>
      <c r="AS40" s="125" cm="1">
        <f t="array" ref="AS40">SUMPRODUCT(($E$7:$E$78=AB40)*($U$7:$U$78)*($G$7:$G$78))+SUMPRODUCT(($H$7:$H$78=AB40)*($U$7:$U$78)*($F$7:$F$78))</f>
        <v>0</v>
      </c>
      <c r="AT40" s="125">
        <f>AR40-AS40</f>
        <v>0</v>
      </c>
      <c r="AU40" s="125">
        <f>AT40-MIN(AT38:AT41)</f>
        <v>0</v>
      </c>
      <c r="AV40" s="125">
        <f>AP40/AP42*1000+AQ40/AQ42*100+AU40/AU42*10+AR40/AR42</f>
        <v>0</v>
      </c>
      <c r="AW40" s="125">
        <f>AV40/AV42</f>
        <v>0</v>
      </c>
      <c r="BY40" s="118"/>
      <c r="BZ40" s="116"/>
    </row>
    <row r="41" spans="1:84" x14ac:dyDescent="0.25">
      <c r="A41" s="16">
        <v>35</v>
      </c>
      <c r="B41" s="17" t="str" cm="1">
        <f t="array" ref="B41">INDEX(T,18+INT(MOD(R41-1,7)),lang)</f>
        <v>Sun</v>
      </c>
      <c r="C41" s="18" t="str" cm="1">
        <f t="array" ref="C41">INDEX(T,24+MONTH(R41),lang) &amp; " " &amp; DAY(R41) &amp; ", " &amp; YEAR(R41)</f>
        <v>Jun 21, 2026</v>
      </c>
      <c r="D41" s="124">
        <f t="shared" si="7"/>
        <v>0</v>
      </c>
      <c r="E41" s="78" t="str">
        <f>AB38</f>
        <v>Netherlands</v>
      </c>
      <c r="F41" s="19"/>
      <c r="G41" s="20"/>
      <c r="H41" s="80" t="str">
        <f>AB40</f>
        <v>Sweden</v>
      </c>
      <c r="J41" s="33" t="str">
        <f>VLOOKUP(3,AA38:AK41,2,FALSE)</f>
        <v>Sweden</v>
      </c>
      <c r="K41" s="23">
        <f>L41+M41+N41</f>
        <v>0</v>
      </c>
      <c r="L41" s="23">
        <f>VLOOKUP(3,AA38:AK41,3,FALSE)</f>
        <v>0</v>
      </c>
      <c r="M41" s="23">
        <f>VLOOKUP(3,AA38:AK41,4,FALSE)</f>
        <v>0</v>
      </c>
      <c r="N41" s="23">
        <f>VLOOKUP(3,AA38:AK41,5,FALSE)</f>
        <v>0</v>
      </c>
      <c r="O41" s="23" t="str">
        <f>VLOOKUP(3,AA38:AK41,6,FALSE) &amp; " - " &amp; VLOOKUP(3,AA38:AK41,7,FALSE)</f>
        <v>0 - 0</v>
      </c>
      <c r="P41" s="34">
        <f>L41*3+M41</f>
        <v>0</v>
      </c>
      <c r="R41" s="125">
        <f>DATE(2026,6,20)+TIME(18,0,0)+gmt_delta</f>
        <v>46194</v>
      </c>
      <c r="S41" s="127" t="str">
        <f t="shared" si="1"/>
        <v/>
      </c>
      <c r="T41" s="127" t="str">
        <f t="shared" si="2"/>
        <v/>
      </c>
      <c r="U41" s="126">
        <f t="shared" si="8"/>
        <v>0</v>
      </c>
      <c r="V41" s="125">
        <f t="shared" si="3"/>
        <v>0</v>
      </c>
      <c r="W41" s="125">
        <f t="shared" si="4"/>
        <v>0</v>
      </c>
      <c r="X41" s="125">
        <f t="shared" si="5"/>
        <v>0</v>
      </c>
      <c r="Y41" s="125" t="str">
        <f t="shared" si="6"/>
        <v/>
      </c>
      <c r="AA41" s="125">
        <f>COUNTIF(AN38:AN41,CONCATENATE("&gt;=",AN41))</f>
        <v>4</v>
      </c>
      <c r="AB41" s="126" t="str">
        <f>VLOOKUP("Tunisia",T,lang,FALSE)</f>
        <v>Tunisia</v>
      </c>
      <c r="AC41" s="125">
        <f>COUNTIF($S$7:$T$78,"=" &amp; AB41 &amp; "_win")</f>
        <v>0</v>
      </c>
      <c r="AD41" s="125">
        <f>COUNTIF($S$7:$T$78,"=" &amp; AB41 &amp; "_draw")</f>
        <v>0</v>
      </c>
      <c r="AE41" s="125">
        <f>COUNTIF($S$7:$T$78,"=" &amp; AB41 &amp; "_lose")</f>
        <v>0</v>
      </c>
      <c r="AF41" s="125">
        <f>SUMIF($E$7:$E$78,$AB41,$F$7:$F$78) + SUMIF($H$7:$H$78,$AB41,$G$7:$G$78)</f>
        <v>0</v>
      </c>
      <c r="AG41" s="125">
        <f>SUMIF($E$7:$E$78,$AB41,$G$7:$G$78) + SUMIF($H$7:$H$78,$AB41,$F$7:$F$78)</f>
        <v>0</v>
      </c>
      <c r="AI41" s="125">
        <f>AF41-AG41</f>
        <v>0</v>
      </c>
      <c r="AJ41" s="125">
        <f>AI41-AI42</f>
        <v>0</v>
      </c>
      <c r="AK41" s="125">
        <f>AC41*3+AD41</f>
        <v>0</v>
      </c>
      <c r="AL41" s="125">
        <f>AK41/AK42*10000+AW41*1000+AJ41/AJ42*100+AF41/$AF$12*10+IF(AM41=0,ROW(),AM41)/2000000</f>
        <v>7.4152499999999993E-4</v>
      </c>
      <c r="AM41" s="125">
        <f>VLOOKUP(AB41,db_fifarank,2,FALSE)</f>
        <v>1483.05</v>
      </c>
      <c r="AN41" s="126">
        <f>AL41/AL42</f>
        <v>7.4087382006895759E-4</v>
      </c>
      <c r="AP41" s="125" cm="1">
        <f t="array" ref="AP41">SUMPRODUCT(($S$7:$S$78=AB41&amp;"_win")*($U$7:$U$78))+SUMPRODUCT(($T$7:$T$78=AB41&amp;"_win")*($U$7:$U$78))</f>
        <v>0</v>
      </c>
      <c r="AQ41" s="125" cm="1">
        <f t="array" ref="AQ41">SUMPRODUCT(($S$7:$S$78=AB41&amp;"_draw")*($U$7:$U$78))+SUMPRODUCT(($T$7:$T$78=AB41&amp;"_draw")*($U$7:$U$78))</f>
        <v>0</v>
      </c>
      <c r="AR41" s="125" cm="1">
        <f t="array" ref="AR41">SUMPRODUCT(($E$7:$E$78=AB41)*($U$7:$U$78)*($F$7:$F$78))+SUMPRODUCT(($H$7:$H$78=AB41)*($U$7:$U$78)*($G$7:$G$78))</f>
        <v>0</v>
      </c>
      <c r="AS41" s="125" cm="1">
        <f t="array" ref="AS41">SUMPRODUCT(($E$7:$E$78=AB41)*($U$7:$U$78)*($G$7:$G$78))+SUMPRODUCT(($H$7:$H$78=AB41)*($U$7:$U$78)*($F$7:$F$78))</f>
        <v>0</v>
      </c>
      <c r="AT41" s="125">
        <f>AR41-AS41</f>
        <v>0</v>
      </c>
      <c r="AU41" s="125">
        <f>AT41-MIN(AT38:AT41)</f>
        <v>0</v>
      </c>
      <c r="AV41" s="125">
        <f>AP41/AP42*1000+AQ41/AQ42*100+AU41/AU42*10+AR41/AR42</f>
        <v>0</v>
      </c>
      <c r="AW41" s="125">
        <f>AV41/AV42</f>
        <v>0</v>
      </c>
      <c r="AY41" s="21" t="str" cm="1">
        <f t="array" ref="AY41">INDEX(T,24+MONTH(BD41),lang) &amp; " " &amp; DAY(BD41) &amp; ", " &amp; YEAR(BD41) &amp; "   " &amp; (IF(HOUR(BD41)&lt;10,0,"")&amp;HOUR(BD41)) &amp; ":" &amp;  (IF(MINUTE(BD41)&lt;10,0,"")&amp;MINUTE(BD41))</f>
        <v>Jun 30, 2026   00:00</v>
      </c>
      <c r="AZ41" s="21"/>
      <c r="BA41" s="21"/>
      <c r="BB41" s="21"/>
      <c r="BC41" s="22"/>
      <c r="BD41" s="116">
        <f>DATE(2026,6,29)+TIME(18,0,0)+gmt_delta</f>
        <v>46203</v>
      </c>
      <c r="BE41" s="116"/>
      <c r="BF41" s="21"/>
      <c r="BG41" s="21"/>
      <c r="BH41" s="21"/>
      <c r="BI41" s="21"/>
      <c r="BJ41" s="21"/>
      <c r="BK41" s="116"/>
      <c r="BY41" s="118"/>
      <c r="BZ41" s="116"/>
    </row>
    <row r="42" spans="1:84" x14ac:dyDescent="0.25">
      <c r="A42" s="16">
        <v>36</v>
      </c>
      <c r="B42" s="17" t="str" cm="1">
        <f t="array" ref="B42">INDEX(T,18+INT(MOD(R42-1,7)),lang)</f>
        <v>Sat</v>
      </c>
      <c r="C42" s="18" t="str" cm="1">
        <f t="array" ref="C42">INDEX(T,24+MONTH(R42),lang) &amp; " " &amp; DAY(R42) &amp; ", " &amp; YEAR(R42)</f>
        <v>Jun 20, 2026</v>
      </c>
      <c r="D42" s="124">
        <f t="shared" si="7"/>
        <v>0.95833333333333337</v>
      </c>
      <c r="E42" s="78" t="str">
        <f>AB41</f>
        <v>Tunisia</v>
      </c>
      <c r="F42" s="19"/>
      <c r="G42" s="20"/>
      <c r="H42" s="80" t="str">
        <f>AB39</f>
        <v>Japan</v>
      </c>
      <c r="J42" s="35" t="str">
        <f>VLOOKUP(4,AA38:AK41,2,FALSE)</f>
        <v>Tunisia</v>
      </c>
      <c r="K42" s="36">
        <f>L42+M42+N42</f>
        <v>0</v>
      </c>
      <c r="L42" s="36">
        <f>VLOOKUP(4,AA38:AK41,3,FALSE)</f>
        <v>0</v>
      </c>
      <c r="M42" s="36">
        <f>VLOOKUP(4,AA38:AK41,4,FALSE)</f>
        <v>0</v>
      </c>
      <c r="N42" s="36">
        <f>VLOOKUP(4,AA38:AK41,5,FALSE)</f>
        <v>0</v>
      </c>
      <c r="O42" s="36" t="str">
        <f>VLOOKUP(4,AA38:AK41,6,FALSE) &amp; " - " &amp; VLOOKUP(4,AA38:AK41,7,FALSE)</f>
        <v>0 - 0</v>
      </c>
      <c r="P42" s="37">
        <f>L42*3+M42</f>
        <v>0</v>
      </c>
      <c r="R42" s="125">
        <f>DATE(2026,6,20)+TIME(17,0,0)+gmt_delta</f>
        <v>46193.958333333336</v>
      </c>
      <c r="S42" s="127" t="str">
        <f t="shared" si="1"/>
        <v/>
      </c>
      <c r="T42" s="127" t="str">
        <f t="shared" si="2"/>
        <v/>
      </c>
      <c r="U42" s="126">
        <f t="shared" si="8"/>
        <v>0</v>
      </c>
      <c r="V42" s="125">
        <f t="shared" si="3"/>
        <v>0</v>
      </c>
      <c r="W42" s="125">
        <f t="shared" si="4"/>
        <v>0</v>
      </c>
      <c r="X42" s="125">
        <f t="shared" si="5"/>
        <v>0</v>
      </c>
      <c r="Y42" s="125" t="str">
        <f t="shared" si="6"/>
        <v/>
      </c>
      <c r="AC42" s="125">
        <f t="shared" ref="AC42:AE42" si="14">MAX(AC38:AC41)-MIN(AC38:AC41)+1</f>
        <v>1</v>
      </c>
      <c r="AD42" s="125">
        <f t="shared" si="14"/>
        <v>1</v>
      </c>
      <c r="AE42" s="125">
        <f t="shared" si="14"/>
        <v>1</v>
      </c>
      <c r="AF42" s="125">
        <f>MAX(AF38:AF41)+1</f>
        <v>1</v>
      </c>
      <c r="AI42" s="125">
        <f>MIN(AI38:AI41)</f>
        <v>0</v>
      </c>
      <c r="AJ42" s="125">
        <f>MAX(AJ38:AJ41)+1</f>
        <v>1</v>
      </c>
      <c r="AK42" s="125">
        <f>MAX(AK38:AK41)+1</f>
        <v>1</v>
      </c>
      <c r="AL42" s="125">
        <f>MAX(AL38:AL41)+1</f>
        <v>1.000878935</v>
      </c>
      <c r="AP42" s="125">
        <f>MAX(AP38:AP41)-MIN(AP38:AP41)+1</f>
        <v>1</v>
      </c>
      <c r="AQ42" s="125">
        <f>MAX(AQ38:AQ41)-MIN(AQ38:AQ41)+1</f>
        <v>1</v>
      </c>
      <c r="AR42" s="125">
        <f>MAX(AR38:AR41)-MIN(AR38:AR41)+1</f>
        <v>1</v>
      </c>
      <c r="AS42" s="125">
        <f>MAX(AS38:AS41)-MIN(AS38:AS41)+1</f>
        <v>1</v>
      </c>
      <c r="AU42" s="125">
        <f>MAX(AU38:AU41)-MIN(AU38:AU41)+1</f>
        <v>1</v>
      </c>
      <c r="AV42" s="125">
        <f>MAX(AV38:AV41)+1</f>
        <v>1</v>
      </c>
      <c r="AY42" s="130">
        <v>76</v>
      </c>
      <c r="AZ42" s="24" t="str">
        <f>AO20</f>
        <v>1C</v>
      </c>
      <c r="BA42" s="61"/>
      <c r="BB42" s="63"/>
      <c r="BC42" s="25"/>
      <c r="BD42" s="116">
        <f>BA42*1000+BB42*10+BC42</f>
        <v>0</v>
      </c>
      <c r="BE42" s="116"/>
      <c r="BF42" s="21"/>
      <c r="BG42" s="21"/>
      <c r="BH42" s="21"/>
      <c r="BI42" s="21"/>
      <c r="BJ42" s="21"/>
      <c r="BK42" s="116"/>
      <c r="BY42" s="118"/>
    </row>
    <row r="43" spans="1:84" x14ac:dyDescent="0.25">
      <c r="A43" s="16">
        <v>37</v>
      </c>
      <c r="B43" s="17" t="str" cm="1">
        <f t="array" ref="B43">INDEX(T,18+INT(MOD(R43-1,7)),lang)</f>
        <v>Sun</v>
      </c>
      <c r="C43" s="18" t="str" cm="1">
        <f t="array" ref="C43">INDEX(T,24+MONTH(R43),lang) &amp; " " &amp; DAY(R43) &amp; ", " &amp; YEAR(R43)</f>
        <v>Jun 21, 2026</v>
      </c>
      <c r="D43" s="124">
        <f t="shared" si="7"/>
        <v>0.70833333333333337</v>
      </c>
      <c r="E43" s="78" t="str">
        <f>AB53</f>
        <v>Uruguay</v>
      </c>
      <c r="F43" s="19"/>
      <c r="G43" s="20"/>
      <c r="H43" s="80" t="str">
        <f>AB51</f>
        <v>Cape Verde</v>
      </c>
      <c r="R43" s="125">
        <f>DATE(2026,6,21)+TIME(11,0,0)+gmt_delta</f>
        <v>46194.708333333336</v>
      </c>
      <c r="S43" s="127" t="str">
        <f t="shared" si="1"/>
        <v/>
      </c>
      <c r="T43" s="127" t="str">
        <f t="shared" si="2"/>
        <v/>
      </c>
      <c r="U43" s="126">
        <f t="shared" si="8"/>
        <v>0</v>
      </c>
      <c r="V43" s="125">
        <f t="shared" si="3"/>
        <v>0</v>
      </c>
      <c r="W43" s="125">
        <f t="shared" si="4"/>
        <v>0</v>
      </c>
      <c r="X43" s="125">
        <f t="shared" si="5"/>
        <v>0</v>
      </c>
      <c r="Y43" s="125" t="str">
        <f t="shared" si="6"/>
        <v/>
      </c>
      <c r="AY43" s="131"/>
      <c r="AZ43" s="26" t="str">
        <f>AO39</f>
        <v>2F</v>
      </c>
      <c r="BA43" s="62"/>
      <c r="BB43" s="64"/>
      <c r="BC43" s="27"/>
      <c r="BD43" s="117">
        <f>BA43*1000+BB43*10+BC43</f>
        <v>0</v>
      </c>
      <c r="BE43" s="116"/>
      <c r="BF43" s="21" t="str" cm="1">
        <f t="array" ref="BF43">INDEX(T,24+MONTH(BK43),lang) &amp; " " &amp; DAY(BK43) &amp; ", " &amp; YEAR(BK43) &amp; "   " &amp; (IF(HOUR(BK43)&lt;10,0,"")&amp;HOUR(BK43)) &amp; ":" &amp;  (IF(MINUTE(BK43)&lt;10,0,"")&amp;MINUTE(BK43))</f>
        <v>Jul 5, 2026   15:00</v>
      </c>
      <c r="BG43" s="21"/>
      <c r="BH43" s="21"/>
      <c r="BI43" s="21"/>
      <c r="BJ43" s="28"/>
      <c r="BK43" s="116">
        <f>DATE(2026,7,5)+TIME(9,0,0)+gmt_delta</f>
        <v>46208.625</v>
      </c>
      <c r="BY43" s="118"/>
    </row>
    <row r="44" spans="1:84" ht="15" customHeight="1" x14ac:dyDescent="0.25">
      <c r="A44" s="16">
        <v>38</v>
      </c>
      <c r="B44" s="17" t="str" cm="1">
        <f t="array" ref="B44">INDEX(T,18+INT(MOD(R44-1,7)),lang)</f>
        <v>Sun</v>
      </c>
      <c r="C44" s="18" t="str" cm="1">
        <f t="array" ref="C44">INDEX(T,24+MONTH(R44),lang) &amp; " " &amp; DAY(R44) &amp; ", " &amp; YEAR(R44)</f>
        <v>Jun 21, 2026</v>
      </c>
      <c r="D44" s="124">
        <f t="shared" si="7"/>
        <v>0.95833333333333337</v>
      </c>
      <c r="E44" s="78" t="str">
        <f>AB50</f>
        <v>Spain</v>
      </c>
      <c r="F44" s="19"/>
      <c r="G44" s="20"/>
      <c r="H44" s="80" t="str">
        <f>AB52</f>
        <v>Saudi Arabia</v>
      </c>
      <c r="J44" s="38" t="str" cm="1">
        <f t="array" ref="J44">INDEX(T,9,lang) &amp; " " &amp; "G"</f>
        <v>Group G</v>
      </c>
      <c r="K44" s="94" t="str" cm="1">
        <f t="array" ref="K44">INDEX(T,10,lang)</f>
        <v>PL</v>
      </c>
      <c r="L44" s="94" t="str" cm="1">
        <f t="array" ref="L44">INDEX(T,11,lang)</f>
        <v>W</v>
      </c>
      <c r="M44" s="94" t="str" cm="1">
        <f t="array" ref="M44">INDEX(T,12,lang)</f>
        <v>DRAW</v>
      </c>
      <c r="N44" s="94" t="str" cm="1">
        <f t="array" ref="N44">INDEX(T,13,lang)</f>
        <v>L</v>
      </c>
      <c r="O44" s="94" t="str" cm="1">
        <f t="array" ref="O44">INDEX(T,14,lang)</f>
        <v>GF - GA</v>
      </c>
      <c r="P44" s="95" t="str" cm="1">
        <f t="array" ref="P44">INDEX(T,15,lang)</f>
        <v>PNT</v>
      </c>
      <c r="R44" s="125">
        <f>DATE(2026,6,21)+TIME(17,0,0)+gmt_delta</f>
        <v>46194.958333333336</v>
      </c>
      <c r="S44" s="127" t="str">
        <f t="shared" si="1"/>
        <v/>
      </c>
      <c r="T44" s="127" t="str">
        <f t="shared" si="2"/>
        <v/>
      </c>
      <c r="U44" s="126">
        <f t="shared" si="8"/>
        <v>0</v>
      </c>
      <c r="V44" s="125">
        <f t="shared" si="3"/>
        <v>0</v>
      </c>
      <c r="W44" s="125">
        <f t="shared" si="4"/>
        <v>0</v>
      </c>
      <c r="X44" s="125">
        <f t="shared" si="5"/>
        <v>0</v>
      </c>
      <c r="Y44" s="125" t="str">
        <f t="shared" si="6"/>
        <v/>
      </c>
      <c r="AA44" s="125">
        <f>COUNTIF(AN44:AN47,CONCATENATE("&gt;=",AN44))</f>
        <v>1</v>
      </c>
      <c r="AB44" s="126" t="str">
        <f>VLOOKUP("Belgium",T,lang,FALSE)</f>
        <v>Belgium</v>
      </c>
      <c r="AC44" s="125">
        <f>COUNTIF($S$7:$T$78,"=" &amp; AB44 &amp; "_win")</f>
        <v>0</v>
      </c>
      <c r="AD44" s="125">
        <f>COUNTIF($S$7:$T$78,"=" &amp; AB44 &amp; "_draw")</f>
        <v>0</v>
      </c>
      <c r="AE44" s="125">
        <f>COUNTIF($S$7:$T$78,"=" &amp; AB44 &amp; "_lose")</f>
        <v>0</v>
      </c>
      <c r="AF44" s="125">
        <f>SUMIF($E$7:$E$78,$AB44,$F$7:$F$78) + SUMIF($H$7:$H$78,$AB44,$G$7:$G$78)</f>
        <v>0</v>
      </c>
      <c r="AG44" s="125">
        <f>SUMIF($E$7:$E$78,$AB44,$G$7:$G$78) + SUMIF($H$7:$H$78,$AB44,$F$7:$F$78)</f>
        <v>0</v>
      </c>
      <c r="AI44" s="125">
        <f>AF44-AG44</f>
        <v>0</v>
      </c>
      <c r="AJ44" s="125">
        <f>AI44-AI48</f>
        <v>0</v>
      </c>
      <c r="AK44" s="125">
        <f>AC44*3+AD44</f>
        <v>0</v>
      </c>
      <c r="AL44" s="125">
        <f>AK44/AK48*10000+AW44*1000+AJ44/AJ48*100+AF44/AF48*10+IF(AM44=0,ROW(),AM44)/2000000</f>
        <v>8.6735499999999999E-4</v>
      </c>
      <c r="AM44" s="125">
        <f>VLOOKUP(AB44,db_fifarank,2,FALSE)</f>
        <v>1734.71</v>
      </c>
      <c r="AN44" s="126">
        <f>AL44/AL48</f>
        <v>8.6660334725374266E-4</v>
      </c>
      <c r="AO44" s="126" t="str">
        <f>IF(SUM(AC44:AE47)=12,J45,"1G")</f>
        <v>1G</v>
      </c>
      <c r="AP44" s="125" cm="1">
        <f t="array" ref="AP44">SUMPRODUCT(($S$7:$S$78=AB44&amp;"_win")*($U$7:$U$78))+SUMPRODUCT(($T$7:$T$78=AB44&amp;"_win")*($U$7:$U$78))</f>
        <v>0</v>
      </c>
      <c r="AQ44" s="125" cm="1">
        <f t="array" ref="AQ44">SUMPRODUCT(($S$7:$S$78=AB44&amp;"_draw")*($U$7:$U$78))+SUMPRODUCT(($T$7:$T$78=AB44&amp;"_draw")*($U$7:$U$78))</f>
        <v>0</v>
      </c>
      <c r="AR44" s="125" cm="1">
        <f t="array" ref="AR44">SUMPRODUCT(($E$7:$E$78=AB44)*($U$7:$U$78)*($F$7:$F$78))+SUMPRODUCT(($H$7:$H$78=AB44)*($U$7:$U$78)*($G$7:$G$78))</f>
        <v>0</v>
      </c>
      <c r="AS44" s="125" cm="1">
        <f t="array" ref="AS44">SUMPRODUCT(($E$7:$E$78=AB44)*($U$7:$U$78)*($G$7:$G$78))+SUMPRODUCT(($H$7:$H$78=AB44)*($U$7:$U$78)*($F$7:$F$78))</f>
        <v>0</v>
      </c>
      <c r="AT44" s="125">
        <f>AR44-AS44</f>
        <v>0</v>
      </c>
      <c r="AU44" s="125">
        <f>AT44-MIN(AT44:AT47)</f>
        <v>0</v>
      </c>
      <c r="AV44" s="125">
        <f>AP44/AP48*1000+AQ44/AQ48*100+AU44/AU48*10+AR44/AR48</f>
        <v>0</v>
      </c>
      <c r="AW44" s="125">
        <f>AV44/AV48</f>
        <v>0</v>
      </c>
      <c r="AY44" s="21"/>
      <c r="AZ44" s="21"/>
      <c r="BA44" s="21"/>
      <c r="BB44" s="21"/>
      <c r="BC44" s="21"/>
      <c r="BD44" s="118"/>
      <c r="BE44" s="116"/>
      <c r="BF44" s="130">
        <v>91</v>
      </c>
      <c r="BG44" s="112" t="str">
        <f>IF(BD42&gt;BD43,AZ42,IF(BD42&lt;BD43,AZ43,""))</f>
        <v/>
      </c>
      <c r="BH44" s="61"/>
      <c r="BI44" s="63"/>
      <c r="BJ44" s="25"/>
      <c r="BK44" s="116">
        <f>BH44*1000+BI44*10+BJ44</f>
        <v>0</v>
      </c>
      <c r="BY44" s="118"/>
      <c r="CA44" s="132" t="str" cm="1">
        <f t="array" ref="CA44">INDEX(T,7,lang)</f>
        <v>Third-Place Play-Off</v>
      </c>
      <c r="CB44" s="133"/>
      <c r="CC44" s="133"/>
      <c r="CD44" s="133"/>
      <c r="CE44" s="134"/>
    </row>
    <row r="45" spans="1:84" ht="15" customHeight="1" x14ac:dyDescent="0.25">
      <c r="A45" s="16">
        <v>39</v>
      </c>
      <c r="B45" s="17" t="str" cm="1">
        <f t="array" ref="B45">INDEX(T,18+INT(MOD(R45-1,7)),lang)</f>
        <v>Mon</v>
      </c>
      <c r="C45" s="18" t="str" cm="1">
        <f t="array" ref="C45">INDEX(T,24+MONTH(R45),lang) &amp; " " &amp; DAY(R45) &amp; ", " &amp; YEAR(R45)</f>
        <v>Jun 22, 2026</v>
      </c>
      <c r="D45" s="124">
        <f t="shared" si="7"/>
        <v>8.3333333333333329E-2</v>
      </c>
      <c r="E45" s="78" t="str">
        <f>AB44</f>
        <v>Belgium</v>
      </c>
      <c r="F45" s="19"/>
      <c r="G45" s="20"/>
      <c r="H45" s="80" t="str">
        <f>AB46</f>
        <v>Iran</v>
      </c>
      <c r="J45" s="30" t="str">
        <f>VLOOKUP(1,AA44:AK47,2,FALSE)</f>
        <v>Belgium</v>
      </c>
      <c r="K45" s="31">
        <f>L45+M45+N45</f>
        <v>0</v>
      </c>
      <c r="L45" s="31">
        <f>VLOOKUP(1,AA44:AK47,3,FALSE)</f>
        <v>0</v>
      </c>
      <c r="M45" s="31">
        <f>VLOOKUP(1,AA44:AK47,4,FALSE)</f>
        <v>0</v>
      </c>
      <c r="N45" s="31">
        <f>VLOOKUP(1,AA44:AK47,5,FALSE)</f>
        <v>0</v>
      </c>
      <c r="O45" s="31" t="str">
        <f>VLOOKUP(1,AA44:AK47,6,FALSE) &amp; " - " &amp; VLOOKUP(1,AA44:AK47,7,FALSE)</f>
        <v>0 - 0</v>
      </c>
      <c r="P45" s="32">
        <f>L45*3+M45</f>
        <v>0</v>
      </c>
      <c r="R45" s="125">
        <f>DATE(2026,6,21)+TIME(20,0,0)+gmt_delta</f>
        <v>46195.083333333336</v>
      </c>
      <c r="S45" s="127" t="str">
        <f t="shared" si="1"/>
        <v/>
      </c>
      <c r="T45" s="127" t="str">
        <f t="shared" si="2"/>
        <v/>
      </c>
      <c r="U45" s="126">
        <f t="shared" si="8"/>
        <v>0</v>
      </c>
      <c r="V45" s="125">
        <f t="shared" si="3"/>
        <v>0</v>
      </c>
      <c r="W45" s="125">
        <f t="shared" si="4"/>
        <v>0</v>
      </c>
      <c r="X45" s="125">
        <f t="shared" si="5"/>
        <v>0</v>
      </c>
      <c r="Y45" s="125" t="str">
        <f t="shared" si="6"/>
        <v/>
      </c>
      <c r="AA45" s="125">
        <f>COUNTIF(AN44:AN47,CONCATENATE("&gt;=",AN45))</f>
        <v>3</v>
      </c>
      <c r="AB45" s="126" t="str">
        <f>VLOOKUP("Egypt",T,lang,FALSE)</f>
        <v>Egypt</v>
      </c>
      <c r="AC45" s="125">
        <f>COUNTIF($S$7:$T$78,"=" &amp; AB45 &amp; "_win")</f>
        <v>0</v>
      </c>
      <c r="AD45" s="125">
        <f>COUNTIF($S$7:$T$78,"=" &amp; AB45 &amp; "_draw")</f>
        <v>0</v>
      </c>
      <c r="AE45" s="125">
        <f>COUNTIF($S$7:$T$78,"=" &amp; AB45 &amp; "_lose")</f>
        <v>0</v>
      </c>
      <c r="AF45" s="125">
        <f>SUMIF($E$7:$E$78,$AB45,$F$7:$F$78) + SUMIF($H$7:$H$78,$AB45,$G$7:$G$78)</f>
        <v>0</v>
      </c>
      <c r="AG45" s="125">
        <f>SUMIF($E$7:$E$78,$AB45,$G$7:$G$78) + SUMIF($H$7:$H$78,$AB45,$F$7:$F$78)</f>
        <v>0</v>
      </c>
      <c r="AI45" s="125">
        <f>AF45-AG45</f>
        <v>0</v>
      </c>
      <c r="AJ45" s="125">
        <f>AI45-AI48</f>
        <v>0</v>
      </c>
      <c r="AK45" s="125">
        <f>AC45*3+AD45</f>
        <v>0</v>
      </c>
      <c r="AL45" s="125">
        <f>AK45/AK48*10000+AW45*1000+AJ45/AJ48*100+AF45/AF48*10+IF(AM45=0,ROW(),AM45)/2000000</f>
        <v>7.8162000000000001E-4</v>
      </c>
      <c r="AM45" s="125">
        <f>VLOOKUP(AB45,db_fifarank,2,FALSE)</f>
        <v>1563.24</v>
      </c>
      <c r="AN45" s="126">
        <f>AL45/AL48</f>
        <v>7.809426454917195E-4</v>
      </c>
      <c r="AO45" s="126" t="str">
        <f>IF(SUM(AC44:AE47)=12,J46,"2G")</f>
        <v>2G</v>
      </c>
      <c r="AP45" s="125" cm="1">
        <f t="array" ref="AP45">SUMPRODUCT(($S$7:$S$78=AB45&amp;"_win")*($U$7:$U$78))+SUMPRODUCT(($T$7:$T$78=AB45&amp;"_win")*($U$7:$U$78))</f>
        <v>0</v>
      </c>
      <c r="AQ45" s="125" cm="1">
        <f t="array" ref="AQ45">SUMPRODUCT(($S$7:$S$78=AB45&amp;"_draw")*($U$7:$U$78))+SUMPRODUCT(($T$7:$T$78=AB45&amp;"_draw")*($U$7:$U$78))</f>
        <v>0</v>
      </c>
      <c r="AR45" s="125" cm="1">
        <f t="array" ref="AR45">SUMPRODUCT(($E$7:$E$78=AB45)*($U$7:$U$78)*($F$7:$F$78))+SUMPRODUCT(($H$7:$H$78=AB45)*($U$7:$U$78)*($G$7:$G$78))</f>
        <v>0</v>
      </c>
      <c r="AS45" s="125" cm="1">
        <f t="array" ref="AS45">SUMPRODUCT(($E$7:$E$78=AB45)*($U$7:$U$78)*($G$7:$G$78))+SUMPRODUCT(($H$7:$H$78=AB45)*($U$7:$U$78)*($F$7:$F$78))</f>
        <v>0</v>
      </c>
      <c r="AT45" s="125">
        <f>AR45-AS45</f>
        <v>0</v>
      </c>
      <c r="AU45" s="125">
        <f>AT45-MIN(AT44:AT47)</f>
        <v>0</v>
      </c>
      <c r="AV45" s="125">
        <f>AP45/AP48*1000+AQ45/AQ48*100+AU45/AU48*10+AR45/AR48</f>
        <v>0</v>
      </c>
      <c r="AW45" s="125">
        <f>AV45/AV48</f>
        <v>0</v>
      </c>
      <c r="AY45" s="21" t="str" cm="1">
        <f t="array" ref="AY45">INDEX(T,24+MONTH(BD45),lang) &amp; " " &amp; DAY(BD45) &amp; ", " &amp; YEAR(BD45) &amp; "   " &amp; (IF(HOUR(BD45)&lt;10,0,"")&amp;HOUR(BD45)) &amp; ":" &amp;  (IF(MINUTE(BD45)&lt;10,0,"")&amp;MINUTE(BD45))</f>
        <v>Jul 1, 2026   00:00</v>
      </c>
      <c r="AZ45" s="21"/>
      <c r="BA45" s="21"/>
      <c r="BB45" s="21"/>
      <c r="BC45" s="28"/>
      <c r="BD45" s="118">
        <f>DATE(2026,6,30)+TIME(18,0,0)+gmt_delta</f>
        <v>46204</v>
      </c>
      <c r="BE45" s="119"/>
      <c r="BF45" s="131"/>
      <c r="BG45" s="26" t="str">
        <f>IF(BD46&gt;BD47,AZ46,IF(BD46&lt;BD47,AZ47,""))</f>
        <v/>
      </c>
      <c r="BH45" s="62"/>
      <c r="BI45" s="64"/>
      <c r="BJ45" s="27"/>
      <c r="BK45" s="117">
        <f>BH45*1000+BI45*10+BJ45</f>
        <v>0</v>
      </c>
      <c r="BY45" s="118"/>
      <c r="CA45" s="135"/>
      <c r="CB45" s="136"/>
      <c r="CC45" s="136"/>
      <c r="CD45" s="136"/>
      <c r="CE45" s="137"/>
    </row>
    <row r="46" spans="1:84" x14ac:dyDescent="0.25">
      <c r="A46" s="16">
        <v>40</v>
      </c>
      <c r="B46" s="17" t="str" cm="1">
        <f t="array" ref="B46">INDEX(T,18+INT(MOD(R46-1,7)),lang)</f>
        <v>Sun</v>
      </c>
      <c r="C46" s="18" t="str" cm="1">
        <f t="array" ref="C46">INDEX(T,24+MONTH(R46),lang) &amp; " " &amp; DAY(R46) &amp; ", " &amp; YEAR(R46)</f>
        <v>Jun 21, 2026</v>
      </c>
      <c r="D46" s="124">
        <f t="shared" si="7"/>
        <v>0.83333333333333337</v>
      </c>
      <c r="E46" s="78" t="str">
        <f>AB47</f>
        <v>New Zealand</v>
      </c>
      <c r="F46" s="19"/>
      <c r="G46" s="20"/>
      <c r="H46" s="80" t="str">
        <f>AB45</f>
        <v>Egypt</v>
      </c>
      <c r="J46" s="33" t="str">
        <f>VLOOKUP(2,AA44:AK47,2,FALSE)</f>
        <v>Iran</v>
      </c>
      <c r="K46" s="23">
        <f>L46+M46+N46</f>
        <v>0</v>
      </c>
      <c r="L46" s="23">
        <f>VLOOKUP(2,AA44:AK47,3,FALSE)</f>
        <v>0</v>
      </c>
      <c r="M46" s="23">
        <f>VLOOKUP(2,AA44:AK47,4,FALSE)</f>
        <v>0</v>
      </c>
      <c r="N46" s="23">
        <f>VLOOKUP(2,AA44:AK47,5,FALSE)</f>
        <v>0</v>
      </c>
      <c r="O46" s="23" t="str">
        <f>VLOOKUP(2,AA44:AK47,6,FALSE) &amp; " - " &amp; VLOOKUP(2,AA44:AK47,7,FALSE)</f>
        <v>0 - 0</v>
      </c>
      <c r="P46" s="34">
        <f>L46*3+M46</f>
        <v>0</v>
      </c>
      <c r="R46" s="125">
        <f>DATE(2026,6,21)+TIME(14,0,0)+gmt_delta</f>
        <v>46194.833333333336</v>
      </c>
      <c r="S46" s="127" t="str">
        <f t="shared" si="1"/>
        <v/>
      </c>
      <c r="T46" s="127" t="str">
        <f t="shared" si="2"/>
        <v/>
      </c>
      <c r="U46" s="126">
        <f t="shared" si="8"/>
        <v>0</v>
      </c>
      <c r="V46" s="125">
        <f t="shared" si="3"/>
        <v>0</v>
      </c>
      <c r="W46" s="125">
        <f t="shared" si="4"/>
        <v>0</v>
      </c>
      <c r="X46" s="125">
        <f t="shared" si="5"/>
        <v>0</v>
      </c>
      <c r="Y46" s="125" t="str">
        <f t="shared" si="6"/>
        <v/>
      </c>
      <c r="AA46" s="125">
        <f>COUNTIF(AN44:AN47,CONCATENATE("&gt;=",AN46))</f>
        <v>2</v>
      </c>
      <c r="AB46" s="126" t="str">
        <f>VLOOKUP("Iran",T,lang,FALSE)</f>
        <v>Iran</v>
      </c>
      <c r="AC46" s="125">
        <f>COUNTIF($S$7:$T$78,"=" &amp; AB46 &amp; "_win")</f>
        <v>0</v>
      </c>
      <c r="AD46" s="125">
        <f>COUNTIF($S$7:$T$78,"=" &amp; AB46 &amp; "_draw")</f>
        <v>0</v>
      </c>
      <c r="AE46" s="125">
        <f>COUNTIF($S$7:$T$78,"=" &amp; AB46 &amp; "_lose")</f>
        <v>0</v>
      </c>
      <c r="AF46" s="125">
        <f>SUMIF($E$7:$E$78,$AB46,$F$7:$F$78) + SUMIF($H$7:$H$78,$AB46,$G$7:$G$78)</f>
        <v>0</v>
      </c>
      <c r="AG46" s="125">
        <f>SUMIF($E$7:$E$78,$AB46,$G$7:$G$78) + SUMIF($H$7:$H$78,$AB46,$F$7:$F$78)</f>
        <v>0</v>
      </c>
      <c r="AI46" s="125">
        <f>AF46-AG46</f>
        <v>0</v>
      </c>
      <c r="AJ46" s="125">
        <f>AI46-AI48</f>
        <v>0</v>
      </c>
      <c r="AK46" s="125">
        <f>AC46*3+AD46</f>
        <v>0</v>
      </c>
      <c r="AL46" s="125">
        <f>AK46/AK48*10000+AW46*1000+AJ46/AJ48*100+AF46/AF48*10+IF(AM46=0,ROW(),AM46)/2000000</f>
        <v>8.0764999999999993E-4</v>
      </c>
      <c r="AM46" s="125">
        <f>VLOOKUP(AB46,db_fifarank,2,FALSE)</f>
        <v>1615.3</v>
      </c>
      <c r="AN46" s="126">
        <f>AL46/AL48</f>
        <v>8.0695008780659041E-4</v>
      </c>
      <c r="AP46" s="125" cm="1">
        <f t="array" ref="AP46">SUMPRODUCT(($S$7:$S$78=AB46&amp;"_win")*($U$7:$U$78))+SUMPRODUCT(($T$7:$T$78=AB46&amp;"_win")*($U$7:$U$78))</f>
        <v>0</v>
      </c>
      <c r="AQ46" s="125" cm="1">
        <f t="array" ref="AQ46">SUMPRODUCT(($S$7:$S$78=AB46&amp;"_draw")*($U$7:$U$78))+SUMPRODUCT(($T$7:$T$78=AB46&amp;"_draw")*($U$7:$U$78))</f>
        <v>0</v>
      </c>
      <c r="AR46" s="125" cm="1">
        <f t="array" ref="AR46">SUMPRODUCT(($E$7:$E$78=AB46)*($U$7:$U$78)*($F$7:$F$78))+SUMPRODUCT(($H$7:$H$78=AB46)*($U$7:$U$78)*($G$7:$G$78))</f>
        <v>0</v>
      </c>
      <c r="AS46" s="125" cm="1">
        <f t="array" ref="AS46">SUMPRODUCT(($E$7:$E$78=AB46)*($U$7:$U$78)*($G$7:$G$78))+SUMPRODUCT(($H$7:$H$78=AB46)*($U$7:$U$78)*($F$7:$F$78))</f>
        <v>0</v>
      </c>
      <c r="AT46" s="125">
        <f>AR46-AS46</f>
        <v>0</v>
      </c>
      <c r="AU46" s="125">
        <f>AT46-MIN(AT44:AT47)</f>
        <v>0</v>
      </c>
      <c r="AV46" s="125">
        <f>AP46/AP48*1000+AQ46/AQ48*100+AU46/AU48*10+AR46/AR48</f>
        <v>0</v>
      </c>
      <c r="AW46" s="125">
        <f>AV46/AV48</f>
        <v>0</v>
      </c>
      <c r="AY46" s="130">
        <v>78</v>
      </c>
      <c r="AZ46" s="24" t="str">
        <f>AO33</f>
        <v>2E</v>
      </c>
      <c r="BA46" s="61"/>
      <c r="BB46" s="63"/>
      <c r="BC46" s="25"/>
      <c r="BD46" s="120">
        <f>BA46*1000+BB46*10+BC46</f>
        <v>0</v>
      </c>
      <c r="BE46" s="116"/>
      <c r="BF46" s="21"/>
      <c r="BG46" s="21"/>
      <c r="BH46" s="21"/>
      <c r="BI46" s="21"/>
      <c r="BJ46" s="21"/>
      <c r="BK46" s="118"/>
      <c r="BY46" s="118"/>
      <c r="BZ46" s="116"/>
    </row>
    <row r="47" spans="1:84" x14ac:dyDescent="0.25">
      <c r="A47" s="16">
        <v>41</v>
      </c>
      <c r="B47" s="17" t="str" cm="1">
        <f t="array" ref="B47">INDEX(T,18+INT(MOD(R47-1,7)),lang)</f>
        <v>Mon</v>
      </c>
      <c r="C47" s="18" t="str" cm="1">
        <f t="array" ref="C47">INDEX(T,24+MONTH(R47),lang) &amp; " " &amp; DAY(R47) &amp; ", " &amp; YEAR(R47)</f>
        <v>Jun 22, 2026</v>
      </c>
      <c r="D47" s="124">
        <f t="shared" si="7"/>
        <v>0.79166666666666663</v>
      </c>
      <c r="E47" s="78" t="str">
        <f>AB59</f>
        <v>Norway</v>
      </c>
      <c r="F47" s="19"/>
      <c r="G47" s="20"/>
      <c r="H47" s="80" t="str">
        <f>AB57</f>
        <v>Senegal</v>
      </c>
      <c r="J47" s="33" t="str">
        <f>VLOOKUP(3,AA44:AK47,2,FALSE)</f>
        <v>Egypt</v>
      </c>
      <c r="K47" s="23">
        <f>L47+M47+N47</f>
        <v>0</v>
      </c>
      <c r="L47" s="23">
        <f>VLOOKUP(3,AA44:AK47,3,FALSE)</f>
        <v>0</v>
      </c>
      <c r="M47" s="23">
        <f>VLOOKUP(3,AA44:AK47,4,FALSE)</f>
        <v>0</v>
      </c>
      <c r="N47" s="23">
        <f>VLOOKUP(3,AA44:AK47,5,FALSE)</f>
        <v>0</v>
      </c>
      <c r="O47" s="23" t="str">
        <f>VLOOKUP(3,AA44:AK47,6,FALSE) &amp; " - " &amp; VLOOKUP(3,AA44:AK47,7,FALSE)</f>
        <v>0 - 0</v>
      </c>
      <c r="P47" s="34">
        <f>L47*3+M47</f>
        <v>0</v>
      </c>
      <c r="R47" s="125">
        <f>DATE(2026,6,22)+TIME(13,0,0)+gmt_delta</f>
        <v>46195.791666666664</v>
      </c>
      <c r="S47" s="127" t="str">
        <f t="shared" ref="S47:S78" si="15">IF(OR(F47="",G47=""),"",IF(F47&gt;G47,E47&amp;"_win",IF(F47&lt;G47,E47&amp;"_lose",E47&amp;"_draw")))</f>
        <v/>
      </c>
      <c r="T47" s="127" t="str">
        <f t="shared" ref="T47:T78" si="16">IF(S47="","",IF(F47&lt;G47,H47&amp;"_win",IF(F47&gt;G47,H47&amp;"_lose",H47&amp;"_draw")))</f>
        <v/>
      </c>
      <c r="U47" s="126">
        <f t="shared" si="8"/>
        <v>0</v>
      </c>
      <c r="V47" s="125">
        <f t="shared" ref="V47:V78" si="17">U47*F47</f>
        <v>0</v>
      </c>
      <c r="W47" s="125">
        <f t="shared" ref="W47:W78" si="18">U47*G47</f>
        <v>0</v>
      </c>
      <c r="X47" s="125">
        <f t="shared" ref="X47:X78" si="19">IF(OR(E47=my_team,H47=my_team),1,0)</f>
        <v>0</v>
      </c>
      <c r="Y47" s="125" t="str">
        <f t="shared" ref="Y47:Y78" si="20">IF(OR(F47="",G47=""),"",IF(F47&gt;G47,1,IF(F47&lt;G47,-1,0)))</f>
        <v/>
      </c>
      <c r="AA47" s="125">
        <f>COUNTIF(AN44:AN47,CONCATENATE("&gt;=",AN47))</f>
        <v>4</v>
      </c>
      <c r="AB47" s="126" t="str">
        <f>VLOOKUP("New Zealand",T,lang,FALSE)</f>
        <v>New Zealand</v>
      </c>
      <c r="AC47" s="125">
        <f>COUNTIF($S$7:$T$78,"=" &amp; AB47 &amp; "_win")</f>
        <v>0</v>
      </c>
      <c r="AD47" s="125">
        <f>COUNTIF($S$7:$T$78,"=" &amp; AB47 &amp; "_draw")</f>
        <v>0</v>
      </c>
      <c r="AE47" s="125">
        <f>COUNTIF($S$7:$T$78,"=" &amp; AB47 &amp; "_lose")</f>
        <v>0</v>
      </c>
      <c r="AF47" s="125">
        <f>SUMIF($E$7:$E$78,$AB47,$F$7:$F$78) + SUMIF($H$7:$H$78,$AB47,$G$7:$G$78)</f>
        <v>0</v>
      </c>
      <c r="AG47" s="125">
        <f>SUMIF($E$7:$E$78,$AB47,$G$7:$G$78) + SUMIF($H$7:$H$78,$AB47,$F$7:$F$78)</f>
        <v>0</v>
      </c>
      <c r="AI47" s="125">
        <f>AF47-AG47</f>
        <v>0</v>
      </c>
      <c r="AJ47" s="125">
        <f>AI47-AI48</f>
        <v>0</v>
      </c>
      <c r="AK47" s="125">
        <f>AC47*3+AD47</f>
        <v>0</v>
      </c>
      <c r="AL47" s="125">
        <f>AK47/AK48*10000+AW47*1000+AJ47/AJ48*100+AF47/$AF$12*10+IF(AM47=0,ROW(),AM47)/2000000</f>
        <v>6.4078499999999994E-4</v>
      </c>
      <c r="AM47" s="125">
        <f>VLOOKUP(AB47,db_fifarank,2,FALSE)</f>
        <v>1281.57</v>
      </c>
      <c r="AN47" s="126">
        <f>AL47/AL48</f>
        <v>6.4022969357412996E-4</v>
      </c>
      <c r="AP47" s="125" cm="1">
        <f t="array" ref="AP47">SUMPRODUCT(($S$7:$S$78=AB47&amp;"_win")*($U$7:$U$78))+SUMPRODUCT(($T$7:$T$78=AB47&amp;"_win")*($U$7:$U$78))</f>
        <v>0</v>
      </c>
      <c r="AQ47" s="125" cm="1">
        <f t="array" ref="AQ47">SUMPRODUCT(($S$7:$S$78=AB47&amp;"_draw")*($U$7:$U$78))+SUMPRODUCT(($T$7:$T$78=AB47&amp;"_draw")*($U$7:$U$78))</f>
        <v>0</v>
      </c>
      <c r="AR47" s="125" cm="1">
        <f t="array" ref="AR47">SUMPRODUCT(($E$7:$E$78=AB47)*($U$7:$U$78)*($F$7:$F$78))+SUMPRODUCT(($H$7:$H$78=AB47)*($U$7:$U$78)*($G$7:$G$78))</f>
        <v>0</v>
      </c>
      <c r="AS47" s="125" cm="1">
        <f t="array" ref="AS47">SUMPRODUCT(($E$7:$E$78=AB47)*($U$7:$U$78)*($G$7:$G$78))+SUMPRODUCT(($H$7:$H$78=AB47)*($U$7:$U$78)*($F$7:$F$78))</f>
        <v>0</v>
      </c>
      <c r="AT47" s="125">
        <f>AR47-AS47</f>
        <v>0</v>
      </c>
      <c r="AU47" s="125">
        <f>AT47-MIN(AT44:AT47)</f>
        <v>0</v>
      </c>
      <c r="AV47" s="125">
        <f>AP47/AP48*1000+AQ47/AQ48*100+AU47/AU48*10+AR47/AR48</f>
        <v>0</v>
      </c>
      <c r="AW47" s="125">
        <f>AV47/AV48</f>
        <v>0</v>
      </c>
      <c r="AY47" s="131"/>
      <c r="AZ47" s="26" t="str">
        <f>AO57</f>
        <v>2I</v>
      </c>
      <c r="BA47" s="62"/>
      <c r="BB47" s="64"/>
      <c r="BC47" s="27"/>
      <c r="BD47" s="116">
        <f>BA47*1000+BB47*10+BC47</f>
        <v>0</v>
      </c>
      <c r="BE47" s="116"/>
      <c r="BF47" s="21"/>
      <c r="BG47" s="21"/>
      <c r="BH47" s="21"/>
      <c r="BI47" s="21"/>
      <c r="BJ47" s="21"/>
      <c r="BK47" s="118"/>
      <c r="BL47" s="116"/>
      <c r="BM47" s="21" t="str" cm="1">
        <f t="array" ref="BM47">INDEX(T,24+MONTH(BR47),lang) &amp; " " &amp; DAY(BR47) &amp; ", " &amp; YEAR(BR47) &amp; "   " &amp; (IF(HOUR(BR47)&lt;10,0,"")&amp;HOUR(BR47)) &amp; ":" &amp;  (IF(MINUTE(BR47)&lt;10,0,"")&amp;MINUTE(BR47))</f>
        <v>Jul 11, 2026   16:00</v>
      </c>
      <c r="BN47" s="21"/>
      <c r="BO47" s="21"/>
      <c r="BP47" s="21"/>
      <c r="BQ47" s="28"/>
      <c r="BR47" s="116">
        <f>DATE(2026,7,11)+TIME(10,0,0)+gmt_delta</f>
        <v>46214.666666666664</v>
      </c>
      <c r="BY47" s="118"/>
      <c r="BZ47" s="116"/>
      <c r="CA47" s="21" t="str" cm="1">
        <f t="array" ref="CA47">INDEX(T,24+MONTH(CF47),lang) &amp; " " &amp; DAY(CF47) &amp; ", " &amp; YEAR(CF47) &amp; "   " &amp; (IF(HOUR(CF47)&lt;10,0,"")&amp;HOUR(CF47)) &amp; ":" &amp;  (IF(MINUTE(CF47)&lt;10,0,"")&amp;MINUTE(CF47))</f>
        <v>Jul 18, 2026   16:00</v>
      </c>
      <c r="CB47" s="21"/>
      <c r="CC47" s="21"/>
      <c r="CD47" s="21"/>
      <c r="CE47" s="28"/>
      <c r="CF47" s="115">
        <f>DATE(2026,7,18)+TIME(10,0,0)+gmt_delta</f>
        <v>46221.666666666664</v>
      </c>
    </row>
    <row r="48" spans="1:84" x14ac:dyDescent="0.25">
      <c r="A48" s="16">
        <v>42</v>
      </c>
      <c r="B48" s="17" t="str" cm="1">
        <f t="array" ref="B48">INDEX(T,18+INT(MOD(R48-1,7)),lang)</f>
        <v>Mon</v>
      </c>
      <c r="C48" s="18" t="str" cm="1">
        <f t="array" ref="C48">INDEX(T,24+MONTH(R48),lang) &amp; " " &amp; DAY(R48) &amp; ", " &amp; YEAR(R48)</f>
        <v>Jun 22, 2026</v>
      </c>
      <c r="D48" s="124">
        <f t="shared" si="7"/>
        <v>0.625</v>
      </c>
      <c r="E48" s="78" t="str">
        <f>AB56</f>
        <v>France</v>
      </c>
      <c r="F48" s="19"/>
      <c r="G48" s="20"/>
      <c r="H48" s="80" t="str">
        <f>AB58</f>
        <v>Iraq</v>
      </c>
      <c r="J48" s="35" t="str">
        <f>VLOOKUP(4,AA44:AK47,2,FALSE)</f>
        <v>New Zealand</v>
      </c>
      <c r="K48" s="36">
        <f>L48+M48+N48</f>
        <v>0</v>
      </c>
      <c r="L48" s="36">
        <f>VLOOKUP(4,AA44:AK47,3,FALSE)</f>
        <v>0</v>
      </c>
      <c r="M48" s="36">
        <f>VLOOKUP(4,AA44:AK47,4,FALSE)</f>
        <v>0</v>
      </c>
      <c r="N48" s="36">
        <f>VLOOKUP(4,AA44:AK47,5,FALSE)</f>
        <v>0</v>
      </c>
      <c r="O48" s="36" t="str">
        <f>VLOOKUP(4,AA44:AK47,6,FALSE) &amp; " - " &amp; VLOOKUP(4,AA44:AK47,7,FALSE)</f>
        <v>0 - 0</v>
      </c>
      <c r="P48" s="37">
        <f>L48*3+M48</f>
        <v>0</v>
      </c>
      <c r="R48" s="125">
        <f>DATE(2026,6,22)+TIME(105,0,0)+gmt_delta</f>
        <v>46195.625</v>
      </c>
      <c r="S48" s="127" t="str">
        <f t="shared" si="15"/>
        <v/>
      </c>
      <c r="T48" s="127" t="str">
        <f t="shared" si="16"/>
        <v/>
      </c>
      <c r="U48" s="126">
        <f t="shared" si="8"/>
        <v>0</v>
      </c>
      <c r="V48" s="125">
        <f t="shared" si="17"/>
        <v>0</v>
      </c>
      <c r="W48" s="125">
        <f t="shared" si="18"/>
        <v>0</v>
      </c>
      <c r="X48" s="125">
        <f t="shared" si="19"/>
        <v>0</v>
      </c>
      <c r="Y48" s="125" t="str">
        <f t="shared" si="20"/>
        <v/>
      </c>
      <c r="AC48" s="125">
        <f t="shared" ref="AC48:AE48" si="21">MAX(AC44:AC47)-MIN(AC44:AC47)+1</f>
        <v>1</v>
      </c>
      <c r="AD48" s="125">
        <f t="shared" si="21"/>
        <v>1</v>
      </c>
      <c r="AE48" s="125">
        <f t="shared" si="21"/>
        <v>1</v>
      </c>
      <c r="AF48" s="125">
        <f>MAX(AF44:AF47)+1</f>
        <v>1</v>
      </c>
      <c r="AI48" s="125">
        <f>MIN(AI44:AI47)</f>
        <v>0</v>
      </c>
      <c r="AJ48" s="125">
        <f>MAX(AJ44:AJ47)+1</f>
        <v>1</v>
      </c>
      <c r="AK48" s="125">
        <f>MAX(AK44:AK47)+1</f>
        <v>1</v>
      </c>
      <c r="AL48" s="125">
        <f>MAX(AL44:AL47)+1</f>
        <v>1.000867355</v>
      </c>
      <c r="AP48" s="125">
        <f>MAX(AP44:AP47)-MIN(AP44:AP47)+1</f>
        <v>1</v>
      </c>
      <c r="AQ48" s="125">
        <f>MAX(AQ44:AQ47)-MIN(AQ44:AQ47)+1</f>
        <v>1</v>
      </c>
      <c r="AR48" s="125">
        <f>MAX(AR44:AR47)-MIN(AR44:AR47)+1</f>
        <v>1</v>
      </c>
      <c r="AS48" s="125">
        <f>MAX(AS44:AS47)-MIN(AS44:AS47)+1</f>
        <v>1</v>
      </c>
      <c r="AU48" s="125">
        <f>MAX(AU44:AU47)-MIN(AU44:AU47)+1</f>
        <v>1</v>
      </c>
      <c r="AV48" s="125">
        <f>MAX(AV44:AV47)+1</f>
        <v>1</v>
      </c>
      <c r="AY48" s="21"/>
      <c r="AZ48" s="21"/>
      <c r="BA48" s="21"/>
      <c r="BB48" s="21"/>
      <c r="BC48" s="21"/>
      <c r="BD48" s="116"/>
      <c r="BE48" s="116"/>
      <c r="BF48" s="21"/>
      <c r="BG48" s="21"/>
      <c r="BH48" s="21"/>
      <c r="BI48" s="21"/>
      <c r="BJ48" s="21"/>
      <c r="BK48" s="118"/>
      <c r="BL48" s="116"/>
      <c r="BM48" s="130">
        <v>99</v>
      </c>
      <c r="BN48" s="112" t="str">
        <f>IF(BK44&gt;BK45,BG44,IF(BK44&lt;BK45,BG45,""))</f>
        <v/>
      </c>
      <c r="BO48" s="61"/>
      <c r="BP48" s="63"/>
      <c r="BQ48" s="25"/>
      <c r="BR48" s="116">
        <f>BO48*1000+BP48*10+BQ48</f>
        <v>0</v>
      </c>
      <c r="BY48" s="118"/>
      <c r="BZ48" s="116"/>
      <c r="CA48" s="130">
        <v>103</v>
      </c>
      <c r="CB48" s="24" t="str">
        <f>IF(BY23&gt;BY24,BU24,IF(BY23&lt;BY24,BU23,""))</f>
        <v/>
      </c>
      <c r="CC48" s="61"/>
      <c r="CD48" s="63"/>
      <c r="CE48" s="25"/>
      <c r="CF48" s="115">
        <f>CC48*1000+CD48*10+CE48</f>
        <v>0</v>
      </c>
    </row>
    <row r="49" spans="1:84" x14ac:dyDescent="0.25">
      <c r="A49" s="16">
        <v>43</v>
      </c>
      <c r="B49" s="17" t="str" cm="1">
        <f t="array" ref="B49">INDEX(T,18+INT(MOD(R49-1,7)),lang)</f>
        <v>Tue</v>
      </c>
      <c r="C49" s="18" t="str" cm="1">
        <f t="array" ref="C49">INDEX(T,24+MONTH(R49),lang) &amp; " " &amp; DAY(R49) &amp; ", " &amp; YEAR(R49)</f>
        <v>Jun 23, 2026</v>
      </c>
      <c r="D49" s="124">
        <f t="shared" si="7"/>
        <v>0</v>
      </c>
      <c r="E49" s="78" t="str">
        <f>AB62</f>
        <v>Argentina</v>
      </c>
      <c r="F49" s="19"/>
      <c r="G49" s="20"/>
      <c r="H49" s="80" t="str">
        <f>AB64</f>
        <v>Austria</v>
      </c>
      <c r="R49" s="125">
        <f>DATE(2026,6,22)+TIME(18,0,0)+gmt_delta</f>
        <v>46196</v>
      </c>
      <c r="S49" s="127" t="str">
        <f t="shared" si="15"/>
        <v/>
      </c>
      <c r="T49" s="127" t="str">
        <f t="shared" si="16"/>
        <v/>
      </c>
      <c r="U49" s="126">
        <f t="shared" si="8"/>
        <v>0</v>
      </c>
      <c r="V49" s="125">
        <f t="shared" si="17"/>
        <v>0</v>
      </c>
      <c r="W49" s="125">
        <f t="shared" si="18"/>
        <v>0</v>
      </c>
      <c r="X49" s="125">
        <f t="shared" si="19"/>
        <v>0</v>
      </c>
      <c r="Y49" s="125" t="str">
        <f t="shared" si="20"/>
        <v/>
      </c>
      <c r="AY49" s="21" t="str" cm="1">
        <f t="array" ref="AY49">INDEX(T,24+MONTH(BD49),lang) &amp; " " &amp; DAY(BD49) &amp; ", " &amp; YEAR(BD49) &amp; "   " &amp; (IF(HOUR(BD49)&lt;10,0,"")&amp;HOUR(BD49)) &amp; ":" &amp;  (IF(MINUTE(BD49)&lt;10,0,"")&amp;MINUTE(BD49))</f>
        <v>Jun 30, 2026   20:00</v>
      </c>
      <c r="AZ49" s="21"/>
      <c r="BA49" s="21"/>
      <c r="BB49" s="21"/>
      <c r="BC49" s="28"/>
      <c r="BD49" s="116">
        <f>DATE(2026,6,30)+TIME(14,0,0)+gmt_delta</f>
        <v>46203.833333333336</v>
      </c>
      <c r="BE49" s="116"/>
      <c r="BF49" s="21"/>
      <c r="BG49" s="21"/>
      <c r="BH49" s="21"/>
      <c r="BI49" s="21"/>
      <c r="BJ49" s="21"/>
      <c r="BK49" s="118"/>
      <c r="BL49" s="119"/>
      <c r="BM49" s="131"/>
      <c r="BN49" s="26" t="str">
        <f>IF(BK52&gt;BK53,BG52,IF(BK52&lt;BK53,BG53,""))</f>
        <v/>
      </c>
      <c r="BO49" s="62"/>
      <c r="BP49" s="64"/>
      <c r="BQ49" s="27"/>
      <c r="BR49" s="117">
        <f>BO49*1000+BP49*10+BQ49</f>
        <v>0</v>
      </c>
      <c r="BY49" s="118"/>
      <c r="BZ49" s="119"/>
      <c r="CA49" s="131"/>
      <c r="CB49" s="26" t="str">
        <f>IF(BY55&gt;BY56,BU56,IF(BY55&lt;BY56,BU55,""))</f>
        <v/>
      </c>
      <c r="CC49" s="62"/>
      <c r="CD49" s="64"/>
      <c r="CE49" s="27"/>
      <c r="CF49" s="115">
        <f>CC49*1000+CD49*10+CE49</f>
        <v>0</v>
      </c>
    </row>
    <row r="50" spans="1:84" x14ac:dyDescent="0.25">
      <c r="A50" s="16">
        <v>44</v>
      </c>
      <c r="B50" s="17" t="str" cm="1">
        <f t="array" ref="B50">INDEX(T,18+INT(MOD(R50-1,7)),lang)</f>
        <v>Mon</v>
      </c>
      <c r="C50" s="18" t="str" cm="1">
        <f t="array" ref="C50">INDEX(T,24+MONTH(R50),lang) &amp; " " &amp; DAY(R50) &amp; ", " &amp; YEAR(R50)</f>
        <v>Jun 22, 2026</v>
      </c>
      <c r="D50" s="124">
        <f t="shared" si="7"/>
        <v>0.91666666666666663</v>
      </c>
      <c r="E50" s="78" t="str">
        <f>AB65</f>
        <v>Jordan</v>
      </c>
      <c r="F50" s="19"/>
      <c r="G50" s="20"/>
      <c r="H50" s="80" t="str">
        <f>AB63</f>
        <v>Algeria</v>
      </c>
      <c r="J50" s="38" t="str" cm="1">
        <f t="array" ref="J50">INDEX(T,9,lang) &amp; " " &amp; "H"</f>
        <v>Group H</v>
      </c>
      <c r="K50" s="94" t="str" cm="1">
        <f t="array" ref="K50">INDEX(T,10,lang)</f>
        <v>PL</v>
      </c>
      <c r="L50" s="94" t="str" cm="1">
        <f t="array" ref="L50">INDEX(T,11,lang)</f>
        <v>W</v>
      </c>
      <c r="M50" s="94" t="str" cm="1">
        <f t="array" ref="M50">INDEX(T,12,lang)</f>
        <v>DRAW</v>
      </c>
      <c r="N50" s="94" t="str" cm="1">
        <f t="array" ref="N50">INDEX(T,13,lang)</f>
        <v>L</v>
      </c>
      <c r="O50" s="94" t="str" cm="1">
        <f t="array" ref="O50">INDEX(T,14,lang)</f>
        <v>GF - GA</v>
      </c>
      <c r="P50" s="95" t="str" cm="1">
        <f t="array" ref="P50">INDEX(T,15,lang)</f>
        <v>PNT</v>
      </c>
      <c r="R50" s="125">
        <f>DATE(2026,6,22)+TIME(16,0,0)+gmt_delta</f>
        <v>46195.916666666664</v>
      </c>
      <c r="S50" s="127" t="str">
        <f t="shared" si="15"/>
        <v/>
      </c>
      <c r="T50" s="127" t="str">
        <f t="shared" si="16"/>
        <v/>
      </c>
      <c r="U50" s="126">
        <f t="shared" si="8"/>
        <v>0</v>
      </c>
      <c r="V50" s="125">
        <f t="shared" si="17"/>
        <v>0</v>
      </c>
      <c r="W50" s="125">
        <f t="shared" si="18"/>
        <v>0</v>
      </c>
      <c r="X50" s="125">
        <f t="shared" si="19"/>
        <v>1</v>
      </c>
      <c r="Y50" s="125" t="str">
        <f t="shared" si="20"/>
        <v/>
      </c>
      <c r="AA50" s="125">
        <f>COUNTIF(AN50:AN53,CONCATENATE("&gt;=",AN50))</f>
        <v>1</v>
      </c>
      <c r="AB50" s="126" t="str">
        <f>VLOOKUP("Spain",T,lang,FALSE)</f>
        <v>Spain</v>
      </c>
      <c r="AC50" s="125">
        <f>COUNTIF($S$7:$T$78,"=" &amp; AB50 &amp; "_win")</f>
        <v>0</v>
      </c>
      <c r="AD50" s="125">
        <f>COUNTIF($S$7:$T$78,"=" &amp; AB50 &amp; "_draw")</f>
        <v>0</v>
      </c>
      <c r="AE50" s="125">
        <f>COUNTIF($S$7:$T$78,"=" &amp; AB50 &amp; "_lose")</f>
        <v>0</v>
      </c>
      <c r="AF50" s="125">
        <f>SUMIF($E$7:$E$78,$AB50,$F$7:$F$78) + SUMIF($H$7:$H$78,$AB50,$G$7:$G$78)</f>
        <v>0</v>
      </c>
      <c r="AG50" s="125">
        <f>SUMIF($E$7:$E$78,$AB50,$G$7:$G$78) + SUMIF($H$7:$H$78,$AB50,$F$7:$F$78)</f>
        <v>0</v>
      </c>
      <c r="AI50" s="125">
        <f>AF50-AG50</f>
        <v>0</v>
      </c>
      <c r="AJ50" s="125">
        <f>AI50-AI54</f>
        <v>0</v>
      </c>
      <c r="AK50" s="125">
        <f>AC50*3+AD50</f>
        <v>0</v>
      </c>
      <c r="AL50" s="125">
        <f>AK50/AK54*10000+AW50*1000+AJ50/AJ54*100+AF50/AF54*10+IF(AM50=0,ROW(),AM50)/2000000</f>
        <v>9.3820000000000004E-4</v>
      </c>
      <c r="AM50" s="125">
        <f>VLOOKUP(AB50,db_fifarank,2,FALSE)</f>
        <v>1876.4</v>
      </c>
      <c r="AN50" s="126">
        <f>AL50/AL54</f>
        <v>9.3732060580763133E-4</v>
      </c>
      <c r="AO50" s="126" t="str">
        <f>IF(SUM(AC50:AE53)=12,J51,"1H")</f>
        <v>1H</v>
      </c>
      <c r="AP50" s="125" cm="1">
        <f t="array" ref="AP50">SUMPRODUCT(($S$7:$S$78=AB50&amp;"_win")*($U$7:$U$78))+SUMPRODUCT(($T$7:$T$78=AB50&amp;"_win")*($U$7:$U$78))</f>
        <v>0</v>
      </c>
      <c r="AQ50" s="125" cm="1">
        <f t="array" ref="AQ50">SUMPRODUCT(($S$7:$S$78=AB50&amp;"_draw")*($U$7:$U$78))+SUMPRODUCT(($T$7:$T$78=AB50&amp;"_draw")*($U$7:$U$78))</f>
        <v>0</v>
      </c>
      <c r="AR50" s="125" cm="1">
        <f t="array" ref="AR50">SUMPRODUCT(($E$7:$E$78=AB50)*($U$7:$U$78)*($F$7:$F$78))+SUMPRODUCT(($H$7:$H$78=AB50)*($U$7:$U$78)*($G$7:$G$78))</f>
        <v>0</v>
      </c>
      <c r="AS50" s="125" cm="1">
        <f t="array" ref="AS50">SUMPRODUCT(($E$7:$E$78=AB50)*($U$7:$U$78)*($G$7:$G$78))+SUMPRODUCT(($H$7:$H$78=AB50)*($U$7:$U$78)*($F$7:$F$78))</f>
        <v>0</v>
      </c>
      <c r="AT50" s="125">
        <f>AR50-AS50</f>
        <v>0</v>
      </c>
      <c r="AU50" s="125">
        <f>AT50-MIN(AT50:AT53)</f>
        <v>0</v>
      </c>
      <c r="AV50" s="125">
        <f>AP50/AP54*1000+AQ50/AQ54*100+AU50/AU54*10+AR50/AR54</f>
        <v>0</v>
      </c>
      <c r="AW50" s="125">
        <f>AV50/AV54</f>
        <v>0</v>
      </c>
      <c r="AY50" s="130">
        <v>79</v>
      </c>
      <c r="AZ50" s="24" t="str">
        <f>AO8</f>
        <v>1A</v>
      </c>
      <c r="BA50" s="61"/>
      <c r="BB50" s="63"/>
      <c r="BC50" s="25"/>
      <c r="BD50" s="116">
        <f>BA50*1000+BB50*10+BC50</f>
        <v>0</v>
      </c>
      <c r="BE50" s="116"/>
      <c r="BF50" s="21"/>
      <c r="BG50" s="21"/>
      <c r="BH50" s="21"/>
      <c r="BI50" s="21"/>
      <c r="BJ50" s="21"/>
      <c r="BK50" s="118"/>
      <c r="BL50" s="116"/>
      <c r="BM50" s="21"/>
      <c r="BN50" s="21"/>
      <c r="BO50" s="21"/>
      <c r="BP50" s="21"/>
      <c r="BQ50" s="21"/>
      <c r="BR50" s="118"/>
      <c r="BY50" s="118"/>
      <c r="BZ50" s="116"/>
    </row>
    <row r="51" spans="1:84" x14ac:dyDescent="0.25">
      <c r="A51" s="16">
        <v>45</v>
      </c>
      <c r="B51" s="17" t="str" cm="1">
        <f t="array" ref="B51">INDEX(T,18+INT(MOD(R51-1,7)),lang)</f>
        <v>Tue</v>
      </c>
      <c r="C51" s="18" t="str" cm="1">
        <f t="array" ref="C51">INDEX(T,24+MONTH(R51),lang) &amp; " " &amp; DAY(R51) &amp; ", " &amp; YEAR(R51)</f>
        <v>Jun 23, 2026</v>
      </c>
      <c r="D51" s="124">
        <f t="shared" si="7"/>
        <v>0.625</v>
      </c>
      <c r="E51" s="78" t="str">
        <f>AB74</f>
        <v>England</v>
      </c>
      <c r="F51" s="19"/>
      <c r="G51" s="20"/>
      <c r="H51" s="80" t="str">
        <f>AB76</f>
        <v>Ghana</v>
      </c>
      <c r="J51" s="30" t="str">
        <f>VLOOKUP(1,AA50:AK53,2,FALSE)</f>
        <v>Spain</v>
      </c>
      <c r="K51" s="31">
        <f>L51+M51+N51</f>
        <v>0</v>
      </c>
      <c r="L51" s="31">
        <f>VLOOKUP(1,AA50:AK53,3,FALSE)</f>
        <v>0</v>
      </c>
      <c r="M51" s="31">
        <f>VLOOKUP(1,AA50:AK53,4,FALSE)</f>
        <v>0</v>
      </c>
      <c r="N51" s="31">
        <f>VLOOKUP(1,AA50:AK53,5,FALSE)</f>
        <v>0</v>
      </c>
      <c r="O51" s="31" t="str">
        <f>VLOOKUP(1,AA50:AK53,6,FALSE) &amp; " - " &amp; VLOOKUP(1,AA50:AK53,7,FALSE)</f>
        <v>0 - 0</v>
      </c>
      <c r="P51" s="32">
        <f>L51*3+M51</f>
        <v>0</v>
      </c>
      <c r="R51" s="125">
        <f>DATE(2026,6,23)+TIME(9,0,0)+gmt_delta</f>
        <v>46196.625</v>
      </c>
      <c r="S51" s="127" t="str">
        <f t="shared" si="15"/>
        <v/>
      </c>
      <c r="T51" s="127" t="str">
        <f t="shared" si="16"/>
        <v/>
      </c>
      <c r="U51" s="126">
        <f t="shared" si="8"/>
        <v>0</v>
      </c>
      <c r="V51" s="125">
        <f t="shared" si="17"/>
        <v>0</v>
      </c>
      <c r="W51" s="125">
        <f t="shared" si="18"/>
        <v>0</v>
      </c>
      <c r="X51" s="125">
        <f t="shared" si="19"/>
        <v>0</v>
      </c>
      <c r="Y51" s="125" t="str">
        <f t="shared" si="20"/>
        <v/>
      </c>
      <c r="AA51" s="125">
        <f>COUNTIF(AN50:AN53,CONCATENATE("&gt;=",AN51))</f>
        <v>4</v>
      </c>
      <c r="AB51" s="126" t="str">
        <f>VLOOKUP("Cape Verde",T,lang,FALSE)</f>
        <v>Cape Verde</v>
      </c>
      <c r="AC51" s="125">
        <f>COUNTIF($S$7:$T$78,"=" &amp; AB51 &amp; "_win")</f>
        <v>0</v>
      </c>
      <c r="AD51" s="125">
        <f>COUNTIF($S$7:$T$78,"=" &amp; AB51 &amp; "_draw")</f>
        <v>0</v>
      </c>
      <c r="AE51" s="125">
        <f>COUNTIF($S$7:$T$78,"=" &amp; AB51 &amp; "_lose")</f>
        <v>0</v>
      </c>
      <c r="AF51" s="125">
        <f>SUMIF($E$7:$E$78,$AB51,$F$7:$F$78) + SUMIF($H$7:$H$78,$AB51,$G$7:$G$78)</f>
        <v>0</v>
      </c>
      <c r="AG51" s="125">
        <f>SUMIF($E$7:$E$78,$AB51,$G$7:$G$78) + SUMIF($H$7:$H$78,$AB51,$F$7:$F$78)</f>
        <v>0</v>
      </c>
      <c r="AI51" s="125">
        <f>AF51-AG51</f>
        <v>0</v>
      </c>
      <c r="AJ51" s="125">
        <f>AI51-AI54</f>
        <v>0</v>
      </c>
      <c r="AK51" s="125">
        <f>AC51*3+AD51</f>
        <v>0</v>
      </c>
      <c r="AL51" s="125">
        <f>AK51/AK54*10000+AW51*1000+AJ51/AJ54*100+AF51/AF54*10+IF(AM51=0,ROW(),AM51)/2000000</f>
        <v>6.8306500000000006E-4</v>
      </c>
      <c r="AM51" s="125">
        <f>VLOOKUP(AB51,db_fifarank,2,FALSE)</f>
        <v>1366.13</v>
      </c>
      <c r="AN51" s="126">
        <f>AL51/AL54</f>
        <v>6.8242474910039407E-4</v>
      </c>
      <c r="AO51" s="126" t="str">
        <f>IF(SUM(AC50:AE53)=12,J52,"2H")</f>
        <v>2H</v>
      </c>
      <c r="AP51" s="125" cm="1">
        <f t="array" ref="AP51">SUMPRODUCT(($S$7:$S$78=AB51&amp;"_win")*($U$7:$U$78))+SUMPRODUCT(($T$7:$T$78=AB51&amp;"_win")*($U$7:$U$78))</f>
        <v>0</v>
      </c>
      <c r="AQ51" s="125" cm="1">
        <f t="array" ref="AQ51">SUMPRODUCT(($S$7:$S$78=AB51&amp;"_draw")*($U$7:$U$78))+SUMPRODUCT(($T$7:$T$78=AB51&amp;"_draw")*($U$7:$U$78))</f>
        <v>0</v>
      </c>
      <c r="AR51" s="125" cm="1">
        <f t="array" ref="AR51">SUMPRODUCT(($E$7:$E$78=AB51)*($U$7:$U$78)*($F$7:$F$78))+SUMPRODUCT(($H$7:$H$78=AB51)*($U$7:$U$78)*($G$7:$G$78))</f>
        <v>0</v>
      </c>
      <c r="AS51" s="125" cm="1">
        <f t="array" ref="AS51">SUMPRODUCT(($E$7:$E$78=AB51)*($U$7:$U$78)*($G$7:$G$78))+SUMPRODUCT(($H$7:$H$78=AB51)*($U$7:$U$78)*($F$7:$F$78))</f>
        <v>0</v>
      </c>
      <c r="AT51" s="125">
        <f>AR51-AS51</f>
        <v>0</v>
      </c>
      <c r="AU51" s="125">
        <f>AT51-MIN(AT50:AT53)</f>
        <v>0</v>
      </c>
      <c r="AV51" s="125">
        <f>AP51/AP54*1000+AQ51/AQ54*100+AU51/AU54*10+AR51/AR54</f>
        <v>0</v>
      </c>
      <c r="AW51" s="125">
        <f>AV51/AV54</f>
        <v>0</v>
      </c>
      <c r="AY51" s="131"/>
      <c r="AZ51" s="26" t="str">
        <f>IF(group_round_completed,VLOOKUP('3rd places'!D3,AH80:AO91,8,FALSE),"3rd Group C/E/F/H/I")</f>
        <v>3rd Group C/E/F/H/I</v>
      </c>
      <c r="BA51" s="62"/>
      <c r="BB51" s="64"/>
      <c r="BC51" s="27"/>
      <c r="BD51" s="117">
        <f>BA51*1000+BB51*10+BC51</f>
        <v>0</v>
      </c>
      <c r="BE51" s="116"/>
      <c r="BF51" s="21" t="str" cm="1">
        <f t="array" ref="BF51">INDEX(T,24+MONTH(BK51),lang) &amp; " " &amp; DAY(BK51) &amp; ", " &amp; YEAR(BK51) &amp; "   " &amp; (IF(HOUR(BK51)&lt;10,0,"")&amp;HOUR(BK51)) &amp; ":" &amp;  (IF(MINUTE(BK51)&lt;10,0,"")&amp;MINUTE(BK51))</f>
        <v>Jul 5, 2026   19:00</v>
      </c>
      <c r="BG51" s="21"/>
      <c r="BH51" s="21"/>
      <c r="BI51" s="21"/>
      <c r="BJ51" s="28"/>
      <c r="BK51" s="118">
        <f>DATE(2026,7,5)+TIME(13,0,0)+gmt_delta</f>
        <v>46208.791666666664</v>
      </c>
      <c r="BL51" s="116"/>
      <c r="BM51" s="21"/>
      <c r="BN51" s="21"/>
      <c r="BO51" s="21"/>
      <c r="BP51" s="21"/>
      <c r="BQ51" s="21"/>
      <c r="BR51" s="118"/>
      <c r="BY51" s="118"/>
      <c r="BZ51" s="116"/>
    </row>
    <row r="52" spans="1:84" x14ac:dyDescent="0.25">
      <c r="A52" s="16">
        <v>46</v>
      </c>
      <c r="B52" s="17" t="str" cm="1">
        <f t="array" ref="B52">INDEX(T,18+INT(MOD(R52-1,7)),lang)</f>
        <v>Tue</v>
      </c>
      <c r="C52" s="18" t="str" cm="1">
        <f t="array" ref="C52">INDEX(T,24+MONTH(R52),lang) &amp; " " &amp; DAY(R52) &amp; ", " &amp; YEAR(R52)</f>
        <v>Jun 23, 2026</v>
      </c>
      <c r="D52" s="124">
        <f t="shared" si="7"/>
        <v>0.75</v>
      </c>
      <c r="E52" s="78" t="str">
        <f>AB77</f>
        <v>Panama</v>
      </c>
      <c r="F52" s="19"/>
      <c r="G52" s="20"/>
      <c r="H52" s="80" t="str">
        <f>AB75</f>
        <v>Croatia</v>
      </c>
      <c r="J52" s="33" t="str">
        <f>VLOOKUP(2,AA50:AK53,2,FALSE)</f>
        <v>Uruguay</v>
      </c>
      <c r="K52" s="23">
        <f>L52+M52+N52</f>
        <v>0</v>
      </c>
      <c r="L52" s="23">
        <f>VLOOKUP(2,AA50:AK53,3,FALSE)</f>
        <v>0</v>
      </c>
      <c r="M52" s="23">
        <f>VLOOKUP(2,AA50:AK53,4,FALSE)</f>
        <v>0</v>
      </c>
      <c r="N52" s="23">
        <f>VLOOKUP(2,AA50:AK53,5,FALSE)</f>
        <v>0</v>
      </c>
      <c r="O52" s="23" t="str">
        <f>VLOOKUP(2,AA50:AK53,6,FALSE) &amp; " - " &amp; VLOOKUP(2,AA50:AK53,7,FALSE)</f>
        <v>0 - 0</v>
      </c>
      <c r="P52" s="34">
        <f>L52*3+M52</f>
        <v>0</v>
      </c>
      <c r="R52" s="125">
        <f>DATE(2026,6,23)+TIME(12,0,0)+gmt_delta</f>
        <v>46196.75</v>
      </c>
      <c r="S52" s="127" t="str">
        <f t="shared" si="15"/>
        <v/>
      </c>
      <c r="T52" s="127" t="str">
        <f t="shared" si="16"/>
        <v/>
      </c>
      <c r="U52" s="126">
        <f t="shared" si="8"/>
        <v>0</v>
      </c>
      <c r="V52" s="125">
        <f t="shared" si="17"/>
        <v>0</v>
      </c>
      <c r="W52" s="125">
        <f t="shared" si="18"/>
        <v>0</v>
      </c>
      <c r="X52" s="125">
        <f t="shared" si="19"/>
        <v>0</v>
      </c>
      <c r="Y52" s="125" t="str">
        <f t="shared" si="20"/>
        <v/>
      </c>
      <c r="AA52" s="125">
        <f>COUNTIF(AN50:AN53,CONCATENATE("&gt;=",AN52))</f>
        <v>3</v>
      </c>
      <c r="AB52" s="126" t="str">
        <f>VLOOKUP("Saudi Arabia",T,lang,FALSE)</f>
        <v>Saudi Arabia</v>
      </c>
      <c r="AC52" s="125">
        <f>COUNTIF($S$7:$T$78,"=" &amp; AB52 &amp; "_win")</f>
        <v>0</v>
      </c>
      <c r="AD52" s="125">
        <f>COUNTIF($S$7:$T$78,"=" &amp; AB52 &amp; "_draw")</f>
        <v>0</v>
      </c>
      <c r="AE52" s="125">
        <f>COUNTIF($S$7:$T$78,"=" &amp; AB52 &amp; "_lose")</f>
        <v>0</v>
      </c>
      <c r="AF52" s="125">
        <f>SUMIF($E$7:$E$78,$AB52,$F$7:$F$78) + SUMIF($H$7:$H$78,$AB52,$G$7:$G$78)</f>
        <v>0</v>
      </c>
      <c r="AG52" s="125">
        <f>SUMIF($E$7:$E$78,$AB52,$G$7:$G$78) + SUMIF($H$7:$H$78,$AB52,$F$7:$F$78)</f>
        <v>0</v>
      </c>
      <c r="AI52" s="125">
        <f>AF52-AG52</f>
        <v>0</v>
      </c>
      <c r="AJ52" s="125">
        <f>AI52-AI54</f>
        <v>0</v>
      </c>
      <c r="AK52" s="125">
        <f>AC52*3+AD52</f>
        <v>0</v>
      </c>
      <c r="AL52" s="125">
        <f>AK52/AK54*10000+AW52*1000+AJ52/AJ54*100+AF52/AF54*10+IF(AM52=0,ROW(),AM52)/2000000</f>
        <v>7.10715E-4</v>
      </c>
      <c r="AM52" s="125">
        <f>VLOOKUP(AB52,db_fifarank,2,FALSE)</f>
        <v>1421.43</v>
      </c>
      <c r="AN52" s="126">
        <f>AL52/AL54</f>
        <v>7.1004883218564344E-4</v>
      </c>
      <c r="AP52" s="125" cm="1">
        <f t="array" ref="AP52">SUMPRODUCT(($S$7:$S$78=AB52&amp;"_win")*($U$7:$U$78))+SUMPRODUCT(($T$7:$T$78=AB52&amp;"_win")*($U$7:$U$78))</f>
        <v>0</v>
      </c>
      <c r="AQ52" s="125" cm="1">
        <f t="array" ref="AQ52">SUMPRODUCT(($S$7:$S$78=AB52&amp;"_draw")*($U$7:$U$78))+SUMPRODUCT(($T$7:$T$78=AB52&amp;"_draw")*($U$7:$U$78))</f>
        <v>0</v>
      </c>
      <c r="AR52" s="125" cm="1">
        <f t="array" ref="AR52">SUMPRODUCT(($E$7:$E$78=AB52)*($U$7:$U$78)*($F$7:$F$78))+SUMPRODUCT(($H$7:$H$78=AB52)*($U$7:$U$78)*($G$7:$G$78))</f>
        <v>0</v>
      </c>
      <c r="AS52" s="125" cm="1">
        <f t="array" ref="AS52">SUMPRODUCT(($E$7:$E$78=AB52)*($U$7:$U$78)*($G$7:$G$78))+SUMPRODUCT(($H$7:$H$78=AB52)*($U$7:$U$78)*($F$7:$F$78))</f>
        <v>0</v>
      </c>
      <c r="AT52" s="125">
        <f>AR52-AS52</f>
        <v>0</v>
      </c>
      <c r="AU52" s="125">
        <f>AT52-MIN(AT50:AT53)</f>
        <v>0</v>
      </c>
      <c r="AV52" s="125">
        <f>AP52/AP54*1000+AQ52/AQ54*100+AU52/AU54*10+AR52/AR54</f>
        <v>0</v>
      </c>
      <c r="AW52" s="125">
        <f>AV52/AV54</f>
        <v>0</v>
      </c>
      <c r="AY52" s="21"/>
      <c r="AZ52" s="21"/>
      <c r="BA52" s="21"/>
      <c r="BB52" s="21"/>
      <c r="BC52" s="21"/>
      <c r="BD52" s="118"/>
      <c r="BE52" s="116"/>
      <c r="BF52" s="130">
        <v>92</v>
      </c>
      <c r="BG52" s="112" t="str">
        <f>IF(BD50&gt;BD51,AZ50,IF(BD50&lt;BD51,AZ51,""))</f>
        <v/>
      </c>
      <c r="BH52" s="61"/>
      <c r="BI52" s="63"/>
      <c r="BJ52" s="25"/>
      <c r="BK52" s="120">
        <f>BH52*1000+BI52*10+BJ52</f>
        <v>0</v>
      </c>
      <c r="BL52" s="116"/>
      <c r="BM52" s="21"/>
      <c r="BN52" s="21"/>
      <c r="BO52" s="21"/>
      <c r="BP52" s="21"/>
      <c r="BQ52" s="21"/>
      <c r="BR52" s="118"/>
      <c r="BY52" s="118"/>
      <c r="BZ52" s="116"/>
    </row>
    <row r="53" spans="1:84" x14ac:dyDescent="0.25">
      <c r="A53" s="16">
        <v>47</v>
      </c>
      <c r="B53" s="17" t="str" cm="1">
        <f t="array" ref="B53">INDEX(T,18+INT(MOD(R53-1,7)),lang)</f>
        <v>Wed</v>
      </c>
      <c r="C53" s="18" t="str" cm="1">
        <f t="array" ref="C53">INDEX(T,24+MONTH(R53),lang) &amp; " " &amp; DAY(R53) &amp; ", " &amp; YEAR(R53)</f>
        <v>Jun 24, 2026</v>
      </c>
      <c r="D53" s="124">
        <f t="shared" si="7"/>
        <v>0</v>
      </c>
      <c r="E53" s="78" t="str">
        <f>AB68</f>
        <v>Portugal</v>
      </c>
      <c r="F53" s="19"/>
      <c r="G53" s="20"/>
      <c r="H53" s="80" t="str">
        <f>AB70</f>
        <v>Uzbekistan</v>
      </c>
      <c r="J53" s="33" t="str">
        <f>VLOOKUP(3,AA50:AK53,2,FALSE)</f>
        <v>Saudi Arabia</v>
      </c>
      <c r="K53" s="23">
        <f>L53+M53+N53</f>
        <v>0</v>
      </c>
      <c r="L53" s="23">
        <f>VLOOKUP(3,AA50:AK53,3,FALSE)</f>
        <v>0</v>
      </c>
      <c r="M53" s="23">
        <f>VLOOKUP(3,AA50:AK53,4,FALSE)</f>
        <v>0</v>
      </c>
      <c r="N53" s="23">
        <f>VLOOKUP(3,AA50:AK53,5,FALSE)</f>
        <v>0</v>
      </c>
      <c r="O53" s="23" t="str">
        <f>VLOOKUP(3,AA50:AK53,6,FALSE) &amp; " - " &amp; VLOOKUP(3,AA50:AK53,7,FALSE)</f>
        <v>0 - 0</v>
      </c>
      <c r="P53" s="34">
        <f>L53*3+M53</f>
        <v>0</v>
      </c>
      <c r="R53" s="125">
        <f>DATE(2026,6,23)+TIME(18,0,0)+gmt_delta</f>
        <v>46197</v>
      </c>
      <c r="S53" s="127" t="str">
        <f t="shared" si="15"/>
        <v/>
      </c>
      <c r="T53" s="127" t="str">
        <f t="shared" si="16"/>
        <v/>
      </c>
      <c r="U53" s="126">
        <f t="shared" si="8"/>
        <v>0</v>
      </c>
      <c r="V53" s="125">
        <f t="shared" si="17"/>
        <v>0</v>
      </c>
      <c r="W53" s="125">
        <f t="shared" si="18"/>
        <v>0</v>
      </c>
      <c r="X53" s="125">
        <f t="shared" si="19"/>
        <v>0</v>
      </c>
      <c r="Y53" s="125" t="str">
        <f t="shared" si="20"/>
        <v/>
      </c>
      <c r="AA53" s="125">
        <f>COUNTIF(AN50:AN53,CONCATENATE("&gt;=",AN53))</f>
        <v>2</v>
      </c>
      <c r="AB53" s="126" t="str">
        <f>VLOOKUP("Uruguay",T,lang,FALSE)</f>
        <v>Uruguay</v>
      </c>
      <c r="AC53" s="125">
        <f>COUNTIF($S$7:$T$78,"=" &amp; AB53 &amp; "_win")</f>
        <v>0</v>
      </c>
      <c r="AD53" s="125">
        <f>COUNTIF($S$7:$T$78,"=" &amp; AB53 &amp; "_draw")</f>
        <v>0</v>
      </c>
      <c r="AE53" s="125">
        <f>COUNTIF($S$7:$T$78,"=" &amp; AB53 &amp; "_lose")</f>
        <v>0</v>
      </c>
      <c r="AF53" s="125">
        <f>SUMIF($E$7:$E$78,$AB53,$F$7:$F$78) + SUMIF($H$7:$H$78,$AB53,$G$7:$G$78)</f>
        <v>0</v>
      </c>
      <c r="AG53" s="125">
        <f>SUMIF($E$7:$E$78,$AB53,$G$7:$G$78) + SUMIF($H$7:$H$78,$AB53,$F$7:$F$78)</f>
        <v>0</v>
      </c>
      <c r="AI53" s="125">
        <f>AF53-AG53</f>
        <v>0</v>
      </c>
      <c r="AJ53" s="125">
        <f>AI53-AI54</f>
        <v>0</v>
      </c>
      <c r="AK53" s="125">
        <f>AC53*3+AD53</f>
        <v>0</v>
      </c>
      <c r="AL53" s="125">
        <f>AK53/AK54*10000+AW53*1000+AJ53/AJ54*100+AF53/$AF$12*10+IF(AM53=0,ROW(),AM53)/2000000</f>
        <v>8.3653500000000001E-4</v>
      </c>
      <c r="AM53" s="125">
        <f>VLOOKUP(AB53,db_fifarank,2,FALSE)</f>
        <v>1673.07</v>
      </c>
      <c r="AN53" s="126">
        <f>AL53/AL54</f>
        <v>8.3575089850702075E-4</v>
      </c>
      <c r="AP53" s="125" cm="1">
        <f t="array" ref="AP53">SUMPRODUCT(($S$7:$S$78=AB53&amp;"_win")*($U$7:$U$78))+SUMPRODUCT(($T$7:$T$78=AB53&amp;"_win")*($U$7:$U$78))</f>
        <v>0</v>
      </c>
      <c r="AQ53" s="125" cm="1">
        <f t="array" ref="AQ53">SUMPRODUCT(($S$7:$S$78=AB53&amp;"_draw")*($U$7:$U$78))+SUMPRODUCT(($T$7:$T$78=AB53&amp;"_draw")*($U$7:$U$78))</f>
        <v>0</v>
      </c>
      <c r="AR53" s="125" cm="1">
        <f t="array" ref="AR53">SUMPRODUCT(($E$7:$E$78=AB53)*($U$7:$U$78)*($F$7:$F$78))+SUMPRODUCT(($H$7:$H$78=AB53)*($U$7:$U$78)*($G$7:$G$78))</f>
        <v>0</v>
      </c>
      <c r="AS53" s="125" cm="1">
        <f t="array" ref="AS53">SUMPRODUCT(($E$7:$E$78=AB53)*($U$7:$U$78)*($G$7:$G$78))+SUMPRODUCT(($H$7:$H$78=AB53)*($U$7:$U$78)*($F$7:$F$78))</f>
        <v>0</v>
      </c>
      <c r="AT53" s="125">
        <f>AR53-AS53</f>
        <v>0</v>
      </c>
      <c r="AU53" s="125">
        <f>AT53-MIN(AT50:AT53)</f>
        <v>0</v>
      </c>
      <c r="AV53" s="125">
        <f>AP53/AP54*1000+AQ53/AQ54*100+AU53/AU54*10+AR53/AR54</f>
        <v>0</v>
      </c>
      <c r="AW53" s="125">
        <f>AV53/AV54</f>
        <v>0</v>
      </c>
      <c r="AY53" s="21" t="str" cm="1">
        <f t="array" ref="AY53">INDEX(T,24+MONTH(BD53),lang) &amp; " " &amp; DAY(BD53) &amp; ", " &amp; YEAR(BD53) &amp; "   " &amp; (IF(HOUR(BD53)&lt;10,0,"")&amp;HOUR(BD53)) &amp; ":" &amp;  (IF(MINUTE(BD53)&lt;10,0,"")&amp;MINUTE(BD53))</f>
        <v>Jul 1, 2026   23:00</v>
      </c>
      <c r="AZ53" s="21"/>
      <c r="BA53" s="21"/>
      <c r="BB53" s="21"/>
      <c r="BC53" s="28"/>
      <c r="BD53" s="118">
        <f>DATE(2026,7,1)+TIME(17,0,0)+gmt_delta</f>
        <v>46204.958333333336</v>
      </c>
      <c r="BE53" s="119"/>
      <c r="BF53" s="131"/>
      <c r="BG53" s="26" t="str">
        <f>IF(BD54&gt;BD55,AZ54,IF(BD54&lt;BD55,AZ55,""))</f>
        <v/>
      </c>
      <c r="BH53" s="62"/>
      <c r="BI53" s="64"/>
      <c r="BJ53" s="27"/>
      <c r="BK53" s="116">
        <f>BH53*1000+BI53*10+BJ53</f>
        <v>0</v>
      </c>
      <c r="BL53" s="116"/>
      <c r="BM53" s="21"/>
      <c r="BN53" s="21"/>
      <c r="BO53" s="21"/>
      <c r="BP53" s="21"/>
      <c r="BQ53" s="21"/>
      <c r="BR53" s="118"/>
      <c r="BY53" s="118"/>
      <c r="BZ53" s="116"/>
    </row>
    <row r="54" spans="1:84" x14ac:dyDescent="0.25">
      <c r="A54" s="16">
        <v>48</v>
      </c>
      <c r="B54" s="17" t="str" cm="1">
        <f t="array" ref="B54">INDEX(T,18+INT(MOD(R54-1,7)),lang)</f>
        <v>Tue</v>
      </c>
      <c r="C54" s="18" t="str" cm="1">
        <f t="array" ref="C54">INDEX(T,24+MONTH(R54),lang) &amp; " " &amp; DAY(R54) &amp; ", " &amp; YEAR(R54)</f>
        <v>Jun 23, 2026</v>
      </c>
      <c r="D54" s="124">
        <f t="shared" si="7"/>
        <v>0.875</v>
      </c>
      <c r="E54" s="78" t="str">
        <f>AB71</f>
        <v>Colombia</v>
      </c>
      <c r="F54" s="19"/>
      <c r="G54" s="20"/>
      <c r="H54" s="80" t="str">
        <f>AB69</f>
        <v>DR Congo</v>
      </c>
      <c r="J54" s="35" t="str">
        <f>VLOOKUP(4,AA50:AK53,2,FALSE)</f>
        <v>Cape Verde</v>
      </c>
      <c r="K54" s="36">
        <f>L54+M54+N54</f>
        <v>0</v>
      </c>
      <c r="L54" s="36">
        <f>VLOOKUP(4,AA50:AK53,3,FALSE)</f>
        <v>0</v>
      </c>
      <c r="M54" s="36">
        <f>VLOOKUP(4,AA50:AK53,4,FALSE)</f>
        <v>0</v>
      </c>
      <c r="N54" s="36">
        <f>VLOOKUP(4,AA50:AK53,5,FALSE)</f>
        <v>0</v>
      </c>
      <c r="O54" s="36" t="str">
        <f>VLOOKUP(4,AA50:AK53,6,FALSE) &amp; " - " &amp; VLOOKUP(4,AA50:AK53,7,FALSE)</f>
        <v>0 - 0</v>
      </c>
      <c r="P54" s="37">
        <f>L54*3+M54</f>
        <v>0</v>
      </c>
      <c r="R54" s="125">
        <f>DATE(2026,6,23)+TIME(15,0,0)+gmt_delta</f>
        <v>46196.875</v>
      </c>
      <c r="S54" s="127" t="str">
        <f t="shared" si="15"/>
        <v/>
      </c>
      <c r="T54" s="127" t="str">
        <f t="shared" si="16"/>
        <v/>
      </c>
      <c r="U54" s="126">
        <f t="shared" si="8"/>
        <v>0</v>
      </c>
      <c r="V54" s="125">
        <f t="shared" si="17"/>
        <v>0</v>
      </c>
      <c r="W54" s="125">
        <f t="shared" si="18"/>
        <v>0</v>
      </c>
      <c r="X54" s="125">
        <f t="shared" si="19"/>
        <v>0</v>
      </c>
      <c r="Y54" s="125" t="str">
        <f t="shared" si="20"/>
        <v/>
      </c>
      <c r="AC54" s="125">
        <f t="shared" ref="AC54:AE54" si="22">MAX(AC50:AC53)-MIN(AC50:AC53)+1</f>
        <v>1</v>
      </c>
      <c r="AD54" s="125">
        <f t="shared" si="22"/>
        <v>1</v>
      </c>
      <c r="AE54" s="125">
        <f t="shared" si="22"/>
        <v>1</v>
      </c>
      <c r="AF54" s="125">
        <f>MAX(AF50:AF53)+1</f>
        <v>1</v>
      </c>
      <c r="AI54" s="125">
        <f>MIN(AI50:AI53)</f>
        <v>0</v>
      </c>
      <c r="AJ54" s="125">
        <f>MAX(AJ50:AJ53)+1</f>
        <v>1</v>
      </c>
      <c r="AK54" s="125">
        <f>MAX(AK50:AK53)+1</f>
        <v>1</v>
      </c>
      <c r="AL54" s="125">
        <f>MAX(AL50:AL53)+1</f>
        <v>1.0009382</v>
      </c>
      <c r="AP54" s="125">
        <f>MAX(AP50:AP53)-MIN(AP50:AP53)+1</f>
        <v>1</v>
      </c>
      <c r="AQ54" s="125">
        <f>MAX(AQ50:AQ53)-MIN(AQ50:AQ53)+1</f>
        <v>1</v>
      </c>
      <c r="AR54" s="125">
        <f>MAX(AR50:AR53)-MIN(AR50:AR53)+1</f>
        <v>1</v>
      </c>
      <c r="AS54" s="125">
        <f>MAX(AS50:AS53)-MIN(AS50:AS53)+1</f>
        <v>1</v>
      </c>
      <c r="AU54" s="125">
        <f>MAX(AU50:AU53)-MIN(AU50:AU53)+1</f>
        <v>1</v>
      </c>
      <c r="AV54" s="125">
        <f>MAX(AV50:AV53)+1</f>
        <v>1</v>
      </c>
      <c r="AY54" s="130">
        <v>80</v>
      </c>
      <c r="AZ54" s="24" t="str">
        <f>AO74</f>
        <v>1L</v>
      </c>
      <c r="BA54" s="61"/>
      <c r="BB54" s="63"/>
      <c r="BC54" s="25"/>
      <c r="BD54" s="120">
        <f>BA54*1000+BB54*10+BC54</f>
        <v>0</v>
      </c>
      <c r="BE54" s="116"/>
      <c r="BF54" s="21"/>
      <c r="BG54" s="21"/>
      <c r="BH54" s="21"/>
      <c r="BI54" s="21"/>
      <c r="BJ54" s="21"/>
      <c r="BK54" s="116"/>
      <c r="BL54" s="116"/>
      <c r="BM54" s="21"/>
      <c r="BN54" s="21"/>
      <c r="BO54" s="21"/>
      <c r="BP54" s="21"/>
      <c r="BQ54" s="21"/>
      <c r="BR54" s="118"/>
      <c r="BS54" s="116"/>
      <c r="BT54" s="21" t="str" cm="1">
        <f t="array" ref="BT54">INDEX(T,24+MONTH(BY54),lang) &amp; " " &amp; DAY(BY54) &amp; ", " &amp; YEAR(BY54) &amp; "   " &amp; (IF(HOUR(BY54)&lt;10,0,"")&amp;HOUR(BY54)) &amp; ":" &amp;  (IF(MINUTE(BY54)&lt;10,0,"")&amp;MINUTE(BY54))</f>
        <v>Jul 15, 2026   14:00</v>
      </c>
      <c r="BU54" s="21"/>
      <c r="BV54" s="21"/>
      <c r="BW54" s="21"/>
      <c r="BX54" s="28"/>
      <c r="BY54" s="118">
        <f>DATE(2026,7,15)+TIME(8,0,0)+gmt_delta</f>
        <v>46218.583333333336</v>
      </c>
      <c r="BZ54" s="116"/>
    </row>
    <row r="55" spans="1:84" x14ac:dyDescent="0.25">
      <c r="A55" s="16">
        <v>49</v>
      </c>
      <c r="B55" s="17" t="str" cm="1">
        <f t="array" ref="B55">INDEX(T,18+INT(MOD(R55-1,7)),lang)</f>
        <v>Wed</v>
      </c>
      <c r="C55" s="18" t="str" cm="1">
        <f t="array" ref="C55">INDEX(T,24+MONTH(R55),lang) &amp; " " &amp; DAY(R55) &amp; ", " &amp; YEAR(R55)</f>
        <v>Jun 24, 2026</v>
      </c>
      <c r="D55" s="124">
        <f t="shared" si="7"/>
        <v>0.70833333333333337</v>
      </c>
      <c r="E55" s="78" t="str">
        <f>AB23</f>
        <v>Scotland</v>
      </c>
      <c r="F55" s="19"/>
      <c r="G55" s="20"/>
      <c r="H55" s="80" t="str">
        <f>AB20</f>
        <v>Brazil</v>
      </c>
      <c r="I55" s="69"/>
      <c r="J55" s="72"/>
      <c r="K55" s="70"/>
      <c r="L55" s="70"/>
      <c r="M55" s="70"/>
      <c r="N55" s="70"/>
      <c r="O55" s="70"/>
      <c r="P55" s="70"/>
      <c r="R55" s="125">
        <f>DATE(2026,6,24)+TIME(11,0,0)+gmt_delta</f>
        <v>46197.708333333336</v>
      </c>
      <c r="S55" s="127" t="str">
        <f t="shared" si="15"/>
        <v/>
      </c>
      <c r="T55" s="127" t="str">
        <f t="shared" si="16"/>
        <v/>
      </c>
      <c r="U55" s="126">
        <f t="shared" si="8"/>
        <v>0</v>
      </c>
      <c r="V55" s="125">
        <f t="shared" si="17"/>
        <v>0</v>
      </c>
      <c r="W55" s="125">
        <f t="shared" si="18"/>
        <v>0</v>
      </c>
      <c r="X55" s="125">
        <f t="shared" si="19"/>
        <v>0</v>
      </c>
      <c r="Y55" s="125" t="str">
        <f t="shared" si="20"/>
        <v/>
      </c>
      <c r="AY55" s="131"/>
      <c r="AZ55" s="26" t="str">
        <f>IF(group_round_completed,VLOOKUP('3rd places'!K3,AH80:AO91,8,FALSE),"3rd Group E/H/I/J/K")</f>
        <v>3rd Group E/H/I/J/K</v>
      </c>
      <c r="BA55" s="62"/>
      <c r="BB55" s="64"/>
      <c r="BC55" s="27"/>
      <c r="BD55" s="116">
        <f>BA55*1000+BB55*10+BC55</f>
        <v>0</v>
      </c>
      <c r="BE55" s="116"/>
      <c r="BF55" s="21"/>
      <c r="BG55" s="21"/>
      <c r="BH55" s="21"/>
      <c r="BI55" s="21"/>
      <c r="BJ55" s="21"/>
      <c r="BK55" s="116"/>
      <c r="BL55" s="116"/>
      <c r="BM55" s="21"/>
      <c r="BN55" s="21"/>
      <c r="BO55" s="21"/>
      <c r="BP55" s="21"/>
      <c r="BQ55" s="21"/>
      <c r="BR55" s="118"/>
      <c r="BS55" s="116"/>
      <c r="BT55" s="130">
        <v>102</v>
      </c>
      <c r="BU55" s="112" t="str">
        <f>IF(BR48&gt;BR49,BN48,IF(BR48&lt;BR49,BN49,""))</f>
        <v/>
      </c>
      <c r="BV55" s="61"/>
      <c r="BW55" s="63"/>
      <c r="BX55" s="25"/>
      <c r="BY55" s="120">
        <f>BV55*1000+BW55*10+BX55</f>
        <v>0</v>
      </c>
      <c r="BZ55" s="116"/>
    </row>
    <row r="56" spans="1:84" x14ac:dyDescent="0.25">
      <c r="A56" s="16">
        <v>50</v>
      </c>
      <c r="B56" s="17" t="str" cm="1">
        <f t="array" ref="B56">INDEX(T,18+INT(MOD(R56-1,7)),lang)</f>
        <v>Wed</v>
      </c>
      <c r="C56" s="18" t="str" cm="1">
        <f t="array" ref="C56">INDEX(T,24+MONTH(R56),lang) &amp; " " &amp; DAY(R56) &amp; ", " &amp; YEAR(R56)</f>
        <v>Jun 24, 2026</v>
      </c>
      <c r="D56" s="124">
        <f t="shared" si="7"/>
        <v>0.70833333333333337</v>
      </c>
      <c r="E56" s="78" t="str">
        <f>AB21</f>
        <v>Morocco</v>
      </c>
      <c r="F56" s="19"/>
      <c r="G56" s="20"/>
      <c r="H56" s="80" t="str">
        <f>AB22</f>
        <v>Haiti</v>
      </c>
      <c r="I56" s="69"/>
      <c r="J56" s="38" t="str" cm="1">
        <f t="array" ref="J56">INDEX(T,9,lang) &amp; " " &amp; "I"</f>
        <v>Group I</v>
      </c>
      <c r="K56" s="94" t="str" cm="1">
        <f t="array" ref="K56">INDEX(T,10,lang)</f>
        <v>PL</v>
      </c>
      <c r="L56" s="94" t="str" cm="1">
        <f t="array" ref="L56">INDEX(T,11,lang)</f>
        <v>W</v>
      </c>
      <c r="M56" s="94" t="str" cm="1">
        <f t="array" ref="M56">INDEX(T,12,lang)</f>
        <v>DRAW</v>
      </c>
      <c r="N56" s="94" t="str" cm="1">
        <f t="array" ref="N56">INDEX(T,13,lang)</f>
        <v>L</v>
      </c>
      <c r="O56" s="94" t="str" cm="1">
        <f t="array" ref="O56">INDEX(T,14,lang)</f>
        <v>GF - GA</v>
      </c>
      <c r="P56" s="95" t="str" cm="1">
        <f t="array" ref="P56">INDEX(T,15,lang)</f>
        <v>PNT</v>
      </c>
      <c r="R56" s="125">
        <f>DATE(2026,6,24)+TIME(11,0,0)+gmt_delta</f>
        <v>46197.708333333336</v>
      </c>
      <c r="S56" s="127" t="str">
        <f t="shared" si="15"/>
        <v/>
      </c>
      <c r="T56" s="127" t="str">
        <f t="shared" si="16"/>
        <v/>
      </c>
      <c r="U56" s="126">
        <f t="shared" si="8"/>
        <v>0</v>
      </c>
      <c r="V56" s="125">
        <f t="shared" si="17"/>
        <v>0</v>
      </c>
      <c r="W56" s="125">
        <f t="shared" si="18"/>
        <v>0</v>
      </c>
      <c r="X56" s="125">
        <f t="shared" si="19"/>
        <v>0</v>
      </c>
      <c r="Y56" s="125" t="str">
        <f t="shared" si="20"/>
        <v/>
      </c>
      <c r="AA56" s="125">
        <f>COUNTIF(AN56:AN59,CONCATENATE("&gt;=",AN56))</f>
        <v>1</v>
      </c>
      <c r="AB56" s="126" t="str">
        <f>VLOOKUP("France",T,lang,FALSE)</f>
        <v>France</v>
      </c>
      <c r="AC56" s="125">
        <f>COUNTIF($S$7:$T$78,"=" &amp; AB56 &amp; "_win")</f>
        <v>0</v>
      </c>
      <c r="AD56" s="125">
        <f>COUNTIF($S$7:$T$78,"=" &amp; AB56 &amp; "_draw")</f>
        <v>0</v>
      </c>
      <c r="AE56" s="125">
        <f>COUNTIF($S$7:$T$78,"=" &amp; AB56 &amp; "_lose")</f>
        <v>0</v>
      </c>
      <c r="AF56" s="125">
        <f>SUMIF($E$7:$E$78,$AB56,$F$7:$F$78) + SUMIF($H$7:$H$78,$AB56,$G$7:$G$78)</f>
        <v>0</v>
      </c>
      <c r="AG56" s="125">
        <f>SUMIF($E$7:$E$78,$AB56,$G$7:$G$78) + SUMIF($H$7:$H$78,$AB56,$F$7:$F$78)</f>
        <v>0</v>
      </c>
      <c r="AI56" s="125">
        <f>AF56-AG56</f>
        <v>0</v>
      </c>
      <c r="AJ56" s="125">
        <f>AI56-AI60</f>
        <v>0</v>
      </c>
      <c r="AK56" s="125">
        <f>AC56*3+AD56</f>
        <v>0</v>
      </c>
      <c r="AL56" s="125">
        <f>AK56/AK60*10000+AW56*1000+AJ56/AJ60*100+AF56/AF60*10+IF(AM56=0,ROW(),AM56)/2000000</f>
        <v>9.3866000000000002E-4</v>
      </c>
      <c r="AM56" s="125">
        <f>VLOOKUP(AB56,db_fifarank,2,FALSE)</f>
        <v>1877.32</v>
      </c>
      <c r="AN56" s="126">
        <f>AL56/AL60</f>
        <v>9.3777974366581059E-4</v>
      </c>
      <c r="AO56" s="126" t="str">
        <f>IF(SUM(AC56:AE59)=12,J57,"1I")</f>
        <v>1I</v>
      </c>
      <c r="AP56" s="125" cm="1">
        <f t="array" ref="AP56">SUMPRODUCT(($S$7:$S$78=AB56&amp;"_win")*($U$7:$U$78))+SUMPRODUCT(($T$7:$T$78=AB56&amp;"_win")*($U$7:$U$78))</f>
        <v>0</v>
      </c>
      <c r="AQ56" s="125" cm="1">
        <f t="array" ref="AQ56">SUMPRODUCT(($S$7:$S$78=AB56&amp;"_draw")*($U$7:$U$78))+SUMPRODUCT(($T$7:$T$78=AB56&amp;"_draw")*($U$7:$U$78))</f>
        <v>0</v>
      </c>
      <c r="AR56" s="125" cm="1">
        <f t="array" ref="AR56">SUMPRODUCT(($E$7:$E$78=AB56)*($U$7:$U$78)*($F$7:$F$78))+SUMPRODUCT(($H$7:$H$78=AB56)*($U$7:$U$78)*($G$7:$G$78))</f>
        <v>0</v>
      </c>
      <c r="AS56" s="125" cm="1">
        <f t="array" ref="AS56">SUMPRODUCT(($E$7:$E$78=AB56)*($U$7:$U$78)*($G$7:$G$78))+SUMPRODUCT(($H$7:$H$78=AB56)*($U$7:$U$78)*($F$7:$F$78))</f>
        <v>0</v>
      </c>
      <c r="AT56" s="125">
        <f>AR56-AS56</f>
        <v>0</v>
      </c>
      <c r="AU56" s="125">
        <f>AT56-MIN(AT56:AT59)</f>
        <v>0</v>
      </c>
      <c r="AV56" s="125">
        <f>AP56/AP60*1000+AQ56/AQ60*100+AU56/AU60*10+AR56/AR60</f>
        <v>0</v>
      </c>
      <c r="AW56" s="125">
        <f>AV56/AV60</f>
        <v>0</v>
      </c>
      <c r="AZ56" s="21"/>
      <c r="BA56" s="21"/>
      <c r="BB56" s="21"/>
      <c r="BC56" s="21"/>
      <c r="BD56" s="116"/>
      <c r="BE56" s="116"/>
      <c r="BF56" s="21"/>
      <c r="BG56" s="21"/>
      <c r="BH56" s="21"/>
      <c r="BI56" s="21"/>
      <c r="BJ56" s="21"/>
      <c r="BK56" s="116"/>
      <c r="BL56" s="116"/>
      <c r="BM56" s="21"/>
      <c r="BN56" s="21"/>
      <c r="BO56" s="21"/>
      <c r="BP56" s="21"/>
      <c r="BQ56" s="21"/>
      <c r="BR56" s="118"/>
      <c r="BS56" s="119"/>
      <c r="BT56" s="131"/>
      <c r="BU56" s="26" t="str">
        <f>IF(BR64&gt;BR65,BN64,IF(BR64&lt;BR65,BN65,""))</f>
        <v/>
      </c>
      <c r="BV56" s="62"/>
      <c r="BW56" s="64"/>
      <c r="BX56" s="27"/>
      <c r="BY56" s="116">
        <f>BV56*1000+BW56*10+BX56</f>
        <v>0</v>
      </c>
      <c r="BZ56" s="116"/>
    </row>
    <row r="57" spans="1:84" x14ac:dyDescent="0.25">
      <c r="A57" s="16">
        <v>51</v>
      </c>
      <c r="B57" s="17" t="str" cm="1">
        <f t="array" ref="B57">INDEX(T,18+INT(MOD(R57-1,7)),lang)</f>
        <v>Thu</v>
      </c>
      <c r="C57" s="18" t="str" cm="1">
        <f t="array" ref="C57">INDEX(T,24+MONTH(R57),lang) &amp; " " &amp; DAY(R57) &amp; ", " &amp; YEAR(R57)</f>
        <v>Jun 25, 2026</v>
      </c>
      <c r="D57" s="124">
        <f t="shared" si="7"/>
        <v>8.3333333333333329E-2</v>
      </c>
      <c r="E57" s="78" t="str">
        <f>AB17</f>
        <v>Switzerland</v>
      </c>
      <c r="F57" s="19"/>
      <c r="G57" s="20"/>
      <c r="H57" s="80" t="str">
        <f>AB14</f>
        <v>Canada</v>
      </c>
      <c r="I57" s="69"/>
      <c r="J57" s="30" t="str">
        <f>VLOOKUP(1,AA56:AK59,2,FALSE)</f>
        <v>France</v>
      </c>
      <c r="K57" s="31">
        <f>L57+M57+N57</f>
        <v>0</v>
      </c>
      <c r="L57" s="31">
        <f>VLOOKUP(1,AA56:AK59,3,FALSE)</f>
        <v>0</v>
      </c>
      <c r="M57" s="31">
        <f>VLOOKUP(1,AA56:AK59,4,FALSE)</f>
        <v>0</v>
      </c>
      <c r="N57" s="31">
        <f>VLOOKUP(1,AA56:AK59,5,FALSE)</f>
        <v>0</v>
      </c>
      <c r="O57" s="31" t="str">
        <f>VLOOKUP(1,AA56:AK59,6,FALSE) &amp; " - " &amp; VLOOKUP(1,AA56:AK59,7,FALSE)</f>
        <v>0 - 0</v>
      </c>
      <c r="P57" s="32">
        <f>L57*3+M57</f>
        <v>0</v>
      </c>
      <c r="R57" s="125">
        <f>DATE(2026,6,24)+TIME(20,0,0)+gmt_delta</f>
        <v>46198.083333333336</v>
      </c>
      <c r="S57" s="127" t="str">
        <f t="shared" si="15"/>
        <v/>
      </c>
      <c r="T57" s="127" t="str">
        <f t="shared" si="16"/>
        <v/>
      </c>
      <c r="U57" s="126">
        <f t="shared" si="8"/>
        <v>0</v>
      </c>
      <c r="V57" s="125">
        <f t="shared" si="17"/>
        <v>0</v>
      </c>
      <c r="W57" s="125">
        <f t="shared" si="18"/>
        <v>0</v>
      </c>
      <c r="X57" s="125">
        <f t="shared" si="19"/>
        <v>0</v>
      </c>
      <c r="Y57" s="125" t="str">
        <f t="shared" si="20"/>
        <v/>
      </c>
      <c r="AA57" s="125">
        <f>COUNTIF(AN56:AN59,CONCATENATE("&gt;=",AN57))</f>
        <v>2</v>
      </c>
      <c r="AB57" s="126" t="str">
        <f>VLOOKUP("Senegal",T,lang,FALSE)</f>
        <v>Senegal</v>
      </c>
      <c r="AC57" s="125">
        <f>COUNTIF($S$7:$T$78,"=" &amp; AB57 &amp; "_win")</f>
        <v>0</v>
      </c>
      <c r="AD57" s="125">
        <f>COUNTIF($S$7:$T$78,"=" &amp; AB57 &amp; "_draw")</f>
        <v>0</v>
      </c>
      <c r="AE57" s="125">
        <f>COUNTIF($S$7:$T$78,"=" &amp; AB57 &amp; "_lose")</f>
        <v>0</v>
      </c>
      <c r="AF57" s="125">
        <f>SUMIF($E$7:$E$78,$AB57,$F$7:$F$78) + SUMIF($H$7:$H$78,$AB57,$G$7:$G$78)</f>
        <v>0</v>
      </c>
      <c r="AG57" s="125">
        <f>SUMIF($E$7:$E$78,$AB57,$G$7:$G$78) + SUMIF($H$7:$H$78,$AB57,$F$7:$F$78)</f>
        <v>0</v>
      </c>
      <c r="AI57" s="125">
        <f>AF57-AG57</f>
        <v>0</v>
      </c>
      <c r="AJ57" s="125">
        <f>AI57-AI60</f>
        <v>0</v>
      </c>
      <c r="AK57" s="125">
        <f>AC57*3+AD57</f>
        <v>0</v>
      </c>
      <c r="AL57" s="125">
        <f>AK57/AK60*10000+AW57*1000+AJ57/AJ60*100+AF57/AF60*10+IF(AM57=0,ROW(),AM57)/2000000</f>
        <v>8.4449500000000001E-4</v>
      </c>
      <c r="AM57" s="125">
        <f>VLOOKUP(AB57,db_fifarank,2,FALSE)</f>
        <v>1688.99</v>
      </c>
      <c r="AN57" s="126">
        <f>AL57/AL60</f>
        <v>8.4370304969537283E-4</v>
      </c>
      <c r="AO57" s="126" t="str">
        <f>IF(SUM(AC56:AE59)=12,J58,"2I")</f>
        <v>2I</v>
      </c>
      <c r="AP57" s="125" cm="1">
        <f t="array" ref="AP57">SUMPRODUCT(($S$7:$S$78=AB57&amp;"_win")*($U$7:$U$78))+SUMPRODUCT(($T$7:$T$78=AB57&amp;"_win")*($U$7:$U$78))</f>
        <v>0</v>
      </c>
      <c r="AQ57" s="125" cm="1">
        <f t="array" ref="AQ57">SUMPRODUCT(($S$7:$S$78=AB57&amp;"_draw")*($U$7:$U$78))+SUMPRODUCT(($T$7:$T$78=AB57&amp;"_draw")*($U$7:$U$78))</f>
        <v>0</v>
      </c>
      <c r="AR57" s="125" cm="1">
        <f t="array" ref="AR57">SUMPRODUCT(($E$7:$E$78=AB57)*($U$7:$U$78)*($F$7:$F$78))+SUMPRODUCT(($H$7:$H$78=AB57)*($U$7:$U$78)*($G$7:$G$78))</f>
        <v>0</v>
      </c>
      <c r="AS57" s="125" cm="1">
        <f t="array" ref="AS57">SUMPRODUCT(($E$7:$E$78=AB57)*($U$7:$U$78)*($G$7:$G$78))+SUMPRODUCT(($H$7:$H$78=AB57)*($U$7:$U$78)*($F$7:$F$78))</f>
        <v>0</v>
      </c>
      <c r="AT57" s="125">
        <f>AR57-AS57</f>
        <v>0</v>
      </c>
      <c r="AU57" s="125">
        <f>AT57-MIN(AT56:AT59)</f>
        <v>0</v>
      </c>
      <c r="AV57" s="125">
        <f>AP57/AP60*1000+AQ57/AQ60*100+AU57/AU60*10+AR57/AR60</f>
        <v>0</v>
      </c>
      <c r="AW57" s="125">
        <f>AV57/AV60</f>
        <v>0</v>
      </c>
      <c r="AY57" s="21" t="str" cm="1">
        <f t="array" ref="AY57">INDEX(T,24+MONTH(BD57),lang) &amp; " " &amp; DAY(BD57) &amp; ", " &amp; YEAR(BD57) &amp; "   " &amp; (IF(HOUR(BD57)&lt;10,0,"")&amp;HOUR(BD57)) &amp; ":" &amp;  (IF(MINUTE(BD57)&lt;10,0,"")&amp;MINUTE(BD57))</f>
        <v>Jul 3, 2026   17:00</v>
      </c>
      <c r="AZ57" s="21"/>
      <c r="BA57" s="21"/>
      <c r="BB57" s="21"/>
      <c r="BC57" s="29"/>
      <c r="BD57" s="116">
        <f>DATE(2026,7,3)+TIME(11,0,0)+gmt_delta</f>
        <v>46206.708333333336</v>
      </c>
      <c r="BE57" s="116"/>
      <c r="BF57" s="21"/>
      <c r="BG57" s="21"/>
      <c r="BH57" s="21"/>
      <c r="BI57" s="21"/>
      <c r="BJ57" s="21"/>
      <c r="BK57" s="116"/>
      <c r="BL57" s="116"/>
      <c r="BM57" s="21"/>
      <c r="BN57" s="21"/>
      <c r="BO57" s="21"/>
      <c r="BP57" s="21"/>
      <c r="BQ57" s="21"/>
      <c r="BR57" s="118"/>
    </row>
    <row r="58" spans="1:84" x14ac:dyDescent="0.25">
      <c r="A58" s="16">
        <v>52</v>
      </c>
      <c r="B58" s="17" t="str" cm="1">
        <f t="array" ref="B58">INDEX(T,18+INT(MOD(R58-1,7)),lang)</f>
        <v>Thu</v>
      </c>
      <c r="C58" s="18" t="str" cm="1">
        <f t="array" ref="C58">INDEX(T,24+MONTH(R58),lang) &amp; " " &amp; DAY(R58) &amp; ", " &amp; YEAR(R58)</f>
        <v>Jun 25, 2026</v>
      </c>
      <c r="D58" s="124">
        <f t="shared" si="7"/>
        <v>8.3333333333333329E-2</v>
      </c>
      <c r="E58" s="78" t="str">
        <f>AB15</f>
        <v>Bosnia and Herzegovina</v>
      </c>
      <c r="F58" s="19"/>
      <c r="G58" s="20"/>
      <c r="H58" s="80" t="str">
        <f>AB16</f>
        <v>Qatar</v>
      </c>
      <c r="I58" s="69"/>
      <c r="J58" s="33" t="str">
        <f>VLOOKUP(2,AA56:AK59,2,FALSE)</f>
        <v>Senegal</v>
      </c>
      <c r="K58" s="23">
        <f>L58+M58+N58</f>
        <v>0</v>
      </c>
      <c r="L58" s="23">
        <f>VLOOKUP(2,AA56:AK59,3,FALSE)</f>
        <v>0</v>
      </c>
      <c r="M58" s="23">
        <f>VLOOKUP(2,AA56:AK59,4,FALSE)</f>
        <v>0</v>
      </c>
      <c r="N58" s="23">
        <f>VLOOKUP(2,AA56:AK59,5,FALSE)</f>
        <v>0</v>
      </c>
      <c r="O58" s="23" t="str">
        <f>VLOOKUP(2,AA56:AK59,6,FALSE) &amp; " - " &amp; VLOOKUP(2,AA56:AK59,7,FALSE)</f>
        <v>0 - 0</v>
      </c>
      <c r="P58" s="34">
        <f>L58*3+M58</f>
        <v>0</v>
      </c>
      <c r="R58" s="125">
        <f>DATE(2026,6,24)+TIME(20,0,0)+gmt_delta</f>
        <v>46198.083333333336</v>
      </c>
      <c r="S58" s="127" t="str">
        <f t="shared" si="15"/>
        <v/>
      </c>
      <c r="T58" s="127" t="str">
        <f t="shared" si="16"/>
        <v/>
      </c>
      <c r="U58" s="126">
        <f t="shared" si="8"/>
        <v>0</v>
      </c>
      <c r="V58" s="125">
        <f t="shared" si="17"/>
        <v>0</v>
      </c>
      <c r="W58" s="125">
        <f t="shared" si="18"/>
        <v>0</v>
      </c>
      <c r="X58" s="125">
        <f t="shared" si="19"/>
        <v>0</v>
      </c>
      <c r="Y58" s="125" t="str">
        <f t="shared" si="20"/>
        <v/>
      </c>
      <c r="AA58" s="125">
        <f>COUNTIF(AN56:AN59,CONCATENATE("&gt;=",AN58))</f>
        <v>4</v>
      </c>
      <c r="AB58" s="126" t="str">
        <f>VLOOKUP("Iraq",T,lang,FALSE)</f>
        <v>Iraq</v>
      </c>
      <c r="AC58" s="125">
        <f>COUNTIF($S$7:$T$78,"=" &amp; AB58 &amp; "_win")</f>
        <v>0</v>
      </c>
      <c r="AD58" s="125">
        <f>COUNTIF($S$7:$T$78,"=" &amp; AB58 &amp; "_draw")</f>
        <v>0</v>
      </c>
      <c r="AE58" s="125">
        <f>COUNTIF($S$7:$T$78,"=" &amp; AB58 &amp; "_lose")</f>
        <v>0</v>
      </c>
      <c r="AF58" s="125">
        <f>SUMIF($E$7:$E$78,$AB58,$F$7:$F$78) + SUMIF($H$7:$H$78,$AB58,$G$7:$G$78)</f>
        <v>0</v>
      </c>
      <c r="AG58" s="125">
        <f>SUMIF($E$7:$E$78,$AB58,$G$7:$G$78) + SUMIF($H$7:$H$78,$AB58,$F$7:$F$78)</f>
        <v>0</v>
      </c>
      <c r="AI58" s="125">
        <f>AF58-AG58</f>
        <v>0</v>
      </c>
      <c r="AJ58" s="125">
        <f>AI58-AI60</f>
        <v>0</v>
      </c>
      <c r="AK58" s="125">
        <f>AC58*3+AD58</f>
        <v>0</v>
      </c>
      <c r="AL58" s="125">
        <f>AK58/AK60*10000+AW58*1000+AJ58/AJ60*100+AF58/AF60*10+IF(AM58=0,ROW(),AM58)/2000000</f>
        <v>7.2357000000000009E-4</v>
      </c>
      <c r="AM58" s="125">
        <f>VLOOKUP(AB58,db_fifarank,2,FALSE)</f>
        <v>1447.14</v>
      </c>
      <c r="AN58" s="126">
        <f>AL58/AL60</f>
        <v>7.2289145071087577E-4</v>
      </c>
      <c r="AP58" s="125" cm="1">
        <f t="array" ref="AP58">SUMPRODUCT(($S$7:$S$78=AB58&amp;"_win")*($U$7:$U$78))+SUMPRODUCT(($T$7:$T$78=AB58&amp;"_win")*($U$7:$U$78))</f>
        <v>0</v>
      </c>
      <c r="AQ58" s="125" cm="1">
        <f t="array" ref="AQ58">SUMPRODUCT(($S$7:$S$78=AB58&amp;"_draw")*($U$7:$U$78))+SUMPRODUCT(($T$7:$T$78=AB58&amp;"_draw")*($U$7:$U$78))</f>
        <v>0</v>
      </c>
      <c r="AR58" s="125" cm="1">
        <f t="array" ref="AR58">SUMPRODUCT(($E$7:$E$78=AB58)*($U$7:$U$78)*($F$7:$F$78))+SUMPRODUCT(($H$7:$H$78=AB58)*($U$7:$U$78)*($G$7:$G$78))</f>
        <v>0</v>
      </c>
      <c r="AS58" s="125" cm="1">
        <f t="array" ref="AS58">SUMPRODUCT(($E$7:$E$78=AB58)*($U$7:$U$78)*($G$7:$G$78))+SUMPRODUCT(($H$7:$H$78=AB58)*($U$7:$U$78)*($F$7:$F$78))</f>
        <v>0</v>
      </c>
      <c r="AT58" s="125">
        <f>AR58-AS58</f>
        <v>0</v>
      </c>
      <c r="AU58" s="125">
        <f>AT58-MIN(AT56:AT59)</f>
        <v>0</v>
      </c>
      <c r="AV58" s="125">
        <f>AP58/AP60*1000+AQ58/AQ60*100+AU58/AU60*10+AR58/AR60</f>
        <v>0</v>
      </c>
      <c r="AW58" s="125">
        <f>AV58/AV60</f>
        <v>0</v>
      </c>
      <c r="AY58" s="130">
        <v>86</v>
      </c>
      <c r="AZ58" s="24" t="str">
        <f>AO62</f>
        <v>1J</v>
      </c>
      <c r="BA58" s="61"/>
      <c r="BB58" s="63"/>
      <c r="BC58" s="25"/>
      <c r="BD58" s="116">
        <f>BA58*1000+BB58*10+BC58</f>
        <v>0</v>
      </c>
      <c r="BE58" s="116"/>
      <c r="BF58" s="21"/>
      <c r="BG58" s="21"/>
      <c r="BH58" s="21"/>
      <c r="BI58" s="21"/>
      <c r="BJ58" s="21"/>
      <c r="BK58" s="116"/>
      <c r="BL58" s="116"/>
      <c r="BM58" s="21"/>
      <c r="BN58" s="21"/>
      <c r="BO58" s="21"/>
      <c r="BP58" s="21"/>
      <c r="BQ58" s="21"/>
      <c r="BR58" s="118"/>
    </row>
    <row r="59" spans="1:84" x14ac:dyDescent="0.25">
      <c r="A59" s="16">
        <v>53</v>
      </c>
      <c r="B59" s="17" t="str" cm="1">
        <f t="array" ref="B59">INDEX(T,18+INT(MOD(R59-1,7)),lang)</f>
        <v>Wed</v>
      </c>
      <c r="C59" s="18" t="str" cm="1">
        <f t="array" ref="C59">INDEX(T,24+MONTH(R59),lang) &amp; " " &amp; DAY(R59) &amp; ", " &amp; YEAR(R59)</f>
        <v>Jun 24, 2026</v>
      </c>
      <c r="D59" s="124">
        <f t="shared" si="7"/>
        <v>0.83333333333333337</v>
      </c>
      <c r="E59" s="78" t="str">
        <f>AB11</f>
        <v>Czech Republic</v>
      </c>
      <c r="F59" s="19"/>
      <c r="G59" s="20"/>
      <c r="H59" s="80" t="str">
        <f>AB8</f>
        <v>Mexico</v>
      </c>
      <c r="I59" s="69"/>
      <c r="J59" s="33" t="str">
        <f>VLOOKUP(3,AA56:AK59,2,FALSE)</f>
        <v>Norway</v>
      </c>
      <c r="K59" s="23">
        <f>L59+M59+N59</f>
        <v>0</v>
      </c>
      <c r="L59" s="23">
        <f>VLOOKUP(3,AA56:AK59,3,FALSE)</f>
        <v>0</v>
      </c>
      <c r="M59" s="23">
        <f>VLOOKUP(3,AA56:AK59,4,FALSE)</f>
        <v>0</v>
      </c>
      <c r="N59" s="23">
        <f>VLOOKUP(3,AA56:AK59,5,FALSE)</f>
        <v>0</v>
      </c>
      <c r="O59" s="23" t="str">
        <f>VLOOKUP(3,AA56:AK59,6,FALSE) &amp; " - " &amp; VLOOKUP(3,AA56:AK59,7,FALSE)</f>
        <v>0 - 0</v>
      </c>
      <c r="P59" s="34">
        <f>L59*3+M59</f>
        <v>0</v>
      </c>
      <c r="R59" s="125">
        <f>DATE(2026,6,24)+TIME(14,0,0)+gmt_delta</f>
        <v>46197.833333333336</v>
      </c>
      <c r="S59" s="127" t="str">
        <f t="shared" si="15"/>
        <v/>
      </c>
      <c r="T59" s="127" t="str">
        <f t="shared" si="16"/>
        <v/>
      </c>
      <c r="U59" s="126">
        <f t="shared" si="8"/>
        <v>0</v>
      </c>
      <c r="V59" s="125">
        <f t="shared" si="17"/>
        <v>0</v>
      </c>
      <c r="W59" s="125">
        <f t="shared" si="18"/>
        <v>0</v>
      </c>
      <c r="X59" s="125">
        <f t="shared" si="19"/>
        <v>0</v>
      </c>
      <c r="Y59" s="125" t="str">
        <f t="shared" si="20"/>
        <v/>
      </c>
      <c r="AA59" s="125">
        <f>COUNTIF(AN56:AN59,CONCATENATE("&gt;=",AN59))</f>
        <v>3</v>
      </c>
      <c r="AB59" s="126" t="str">
        <f>VLOOKUP("Norway",T,lang,FALSE)</f>
        <v>Norway</v>
      </c>
      <c r="AC59" s="125">
        <f>COUNTIF($S$7:$T$78,"=" &amp; AB59 &amp; "_win")</f>
        <v>0</v>
      </c>
      <c r="AD59" s="125">
        <f>COUNTIF($S$7:$T$78,"=" &amp; AB59 &amp; "_draw")</f>
        <v>0</v>
      </c>
      <c r="AE59" s="125">
        <f>COUNTIF($S$7:$T$78,"=" &amp; AB59 &amp; "_lose")</f>
        <v>0</v>
      </c>
      <c r="AF59" s="125">
        <f>SUMIF($E$7:$E$78,$AB59,$F$7:$F$78) + SUMIF($H$7:$H$78,$AB59,$G$7:$G$78)</f>
        <v>0</v>
      </c>
      <c r="AG59" s="125">
        <f>SUMIF($E$7:$E$78,$AB59,$G$7:$G$78) + SUMIF($H$7:$H$78,$AB59,$F$7:$F$78)</f>
        <v>0</v>
      </c>
      <c r="AI59" s="125">
        <f>AF59-AG59</f>
        <v>0</v>
      </c>
      <c r="AJ59" s="125">
        <f>AI59-AI60</f>
        <v>0</v>
      </c>
      <c r="AK59" s="125">
        <f>AC59*3+AD59</f>
        <v>0</v>
      </c>
      <c r="AL59" s="125">
        <f>AK59/AK60*10000+AW59*1000+AJ59/AJ60*100+AF59/$AF$12*10+IF(AM59=0,ROW(),AM59)/2000000</f>
        <v>7.7547E-4</v>
      </c>
      <c r="AM59" s="125">
        <f>VLOOKUP(AB59,db_fifarank,2,FALSE)</f>
        <v>1550.94</v>
      </c>
      <c r="AN59" s="126">
        <f>AL59/AL60</f>
        <v>7.7474277994217945E-4</v>
      </c>
      <c r="AP59" s="125" cm="1">
        <f t="array" ref="AP59">SUMPRODUCT(($S$7:$S$78=AB59&amp;"_win")*($U$7:$U$78))+SUMPRODUCT(($T$7:$T$78=AB59&amp;"_win")*($U$7:$U$78))</f>
        <v>0</v>
      </c>
      <c r="AQ59" s="125" cm="1">
        <f t="array" ref="AQ59">SUMPRODUCT(($S$7:$S$78=AB59&amp;"_draw")*($U$7:$U$78))+SUMPRODUCT(($T$7:$T$78=AB59&amp;"_draw")*($U$7:$U$78))</f>
        <v>0</v>
      </c>
      <c r="AR59" s="125" cm="1">
        <f t="array" ref="AR59">SUMPRODUCT(($E$7:$E$78=AB59)*($U$7:$U$78)*($F$7:$F$78))+SUMPRODUCT(($H$7:$H$78=AB59)*($U$7:$U$78)*($G$7:$G$78))</f>
        <v>0</v>
      </c>
      <c r="AS59" s="125" cm="1">
        <f t="array" ref="AS59">SUMPRODUCT(($E$7:$E$78=AB59)*($U$7:$U$78)*($G$7:$G$78))+SUMPRODUCT(($H$7:$H$78=AB59)*($U$7:$U$78)*($F$7:$F$78))</f>
        <v>0</v>
      </c>
      <c r="AT59" s="125">
        <f>AR59-AS59</f>
        <v>0</v>
      </c>
      <c r="AU59" s="125">
        <f>AT59-MIN(AT56:AT59)</f>
        <v>0</v>
      </c>
      <c r="AV59" s="125">
        <f>AP59/AP60*1000+AQ59/AQ60*100+AU59/AU60*10+AR59/AR60</f>
        <v>0</v>
      </c>
      <c r="AW59" s="125">
        <f>AV59/AV60</f>
        <v>0</v>
      </c>
      <c r="AY59" s="131"/>
      <c r="AZ59" s="26" t="str">
        <f>AO51</f>
        <v>2H</v>
      </c>
      <c r="BA59" s="62"/>
      <c r="BB59" s="64"/>
      <c r="BC59" s="27"/>
      <c r="BD59" s="117">
        <f>BA59*1000+BB59*10+BC59</f>
        <v>0</v>
      </c>
      <c r="BE59" s="116"/>
      <c r="BF59" s="21" t="str" cm="1">
        <f t="array" ref="BF59">INDEX(T,24+MONTH(BK59),lang) &amp; " " &amp; DAY(BK59) &amp; ", " &amp; YEAR(BK59) &amp; "   " &amp; (IF(HOUR(BK59)&lt;10,0,"")&amp;HOUR(BK59)) &amp; ":" &amp;  (IF(MINUTE(BK59)&lt;10,0,"")&amp;MINUTE(BK59))</f>
        <v>Jul 7, 2026   21:00</v>
      </c>
      <c r="BG59" s="21"/>
      <c r="BH59" s="21"/>
      <c r="BI59" s="21"/>
      <c r="BJ59" s="28"/>
      <c r="BK59" s="116">
        <f>DATE(2026,7,7)+TIME(15,0,0)+gmt_delta</f>
        <v>46210.875</v>
      </c>
      <c r="BL59" s="116"/>
      <c r="BM59" s="21"/>
      <c r="BN59" s="21"/>
      <c r="BO59" s="21"/>
      <c r="BP59" s="21"/>
      <c r="BQ59" s="21"/>
      <c r="BR59" s="118"/>
    </row>
    <row r="60" spans="1:84" x14ac:dyDescent="0.25">
      <c r="A60" s="16">
        <v>54</v>
      </c>
      <c r="B60" s="17" t="str" cm="1">
        <f t="array" ref="B60">INDEX(T,18+INT(MOD(R60-1,7)),lang)</f>
        <v>Wed</v>
      </c>
      <c r="C60" s="18" t="str" cm="1">
        <f t="array" ref="C60">INDEX(T,24+MONTH(R60),lang) &amp; " " &amp; DAY(R60) &amp; ", " &amp; YEAR(R60)</f>
        <v>Jun 24, 2026</v>
      </c>
      <c r="D60" s="124">
        <f t="shared" si="7"/>
        <v>0.83333333333333337</v>
      </c>
      <c r="E60" s="78" t="str">
        <f>AB9</f>
        <v>South Africa</v>
      </c>
      <c r="F60" s="19"/>
      <c r="G60" s="20"/>
      <c r="H60" s="80" t="str">
        <f>AB10</f>
        <v>Korea Republic</v>
      </c>
      <c r="I60" s="69"/>
      <c r="J60" s="35" t="str">
        <f>VLOOKUP(4,AA56:AK59,2,FALSE)</f>
        <v>Iraq</v>
      </c>
      <c r="K60" s="36">
        <f>L60+M60+N60</f>
        <v>0</v>
      </c>
      <c r="L60" s="36">
        <f>VLOOKUP(4,AA56:AK59,3,FALSE)</f>
        <v>0</v>
      </c>
      <c r="M60" s="36">
        <f>VLOOKUP(4,AA56:AK59,4,FALSE)</f>
        <v>0</v>
      </c>
      <c r="N60" s="36">
        <f>VLOOKUP(4,AA56:AK59,5,FALSE)</f>
        <v>0</v>
      </c>
      <c r="O60" s="36" t="str">
        <f>VLOOKUP(4,AA56:AK59,6,FALSE) &amp; " - " &amp; VLOOKUP(4,AA56:AK59,7,FALSE)</f>
        <v>0 - 0</v>
      </c>
      <c r="P60" s="37">
        <f>L60*3+M60</f>
        <v>0</v>
      </c>
      <c r="R60" s="125">
        <f>DATE(2026,6,24)+TIME(14,0,0)+gmt_delta</f>
        <v>46197.833333333336</v>
      </c>
      <c r="S60" s="127" t="str">
        <f t="shared" si="15"/>
        <v/>
      </c>
      <c r="T60" s="127" t="str">
        <f t="shared" si="16"/>
        <v/>
      </c>
      <c r="U60" s="126">
        <f t="shared" si="8"/>
        <v>0</v>
      </c>
      <c r="V60" s="125">
        <f t="shared" si="17"/>
        <v>0</v>
      </c>
      <c r="W60" s="125">
        <f t="shared" si="18"/>
        <v>0</v>
      </c>
      <c r="X60" s="125">
        <f t="shared" si="19"/>
        <v>0</v>
      </c>
      <c r="Y60" s="125" t="str">
        <f t="shared" si="20"/>
        <v/>
      </c>
      <c r="AC60" s="125">
        <f t="shared" ref="AC60:AE60" si="23">MAX(AC56:AC59)-MIN(AC56:AC59)+1</f>
        <v>1</v>
      </c>
      <c r="AD60" s="125">
        <f t="shared" si="23"/>
        <v>1</v>
      </c>
      <c r="AE60" s="125">
        <f t="shared" si="23"/>
        <v>1</v>
      </c>
      <c r="AF60" s="125">
        <f>MAX(AF56:AF59)+1</f>
        <v>1</v>
      </c>
      <c r="AI60" s="125">
        <f>MIN(AI56:AI59)</f>
        <v>0</v>
      </c>
      <c r="AJ60" s="125">
        <f>MAX(AJ56:AJ59)+1</f>
        <v>1</v>
      </c>
      <c r="AK60" s="125">
        <f>MAX(AK56:AK59)+1</f>
        <v>1</v>
      </c>
      <c r="AL60" s="125">
        <f>MAX(AL56:AL59)+1</f>
        <v>1.0009386600000001</v>
      </c>
      <c r="AP60" s="125">
        <f>MAX(AP56:AP59)-MIN(AP56:AP59)+1</f>
        <v>1</v>
      </c>
      <c r="AQ60" s="125">
        <f>MAX(AQ56:AQ59)-MIN(AQ56:AQ59)+1</f>
        <v>1</v>
      </c>
      <c r="AR60" s="125">
        <f>MAX(AR56:AR59)-MIN(AR56:AR59)+1</f>
        <v>1</v>
      </c>
      <c r="AS60" s="125">
        <f>MAX(AS56:AS59)-MIN(AS56:AS59)+1</f>
        <v>1</v>
      </c>
      <c r="AU60" s="125">
        <f>MAX(AU56:AU59)-MIN(AU56:AU59)+1</f>
        <v>1</v>
      </c>
      <c r="AV60" s="125">
        <f>MAX(AV56:AV59)+1</f>
        <v>1</v>
      </c>
      <c r="AY60" s="21"/>
      <c r="AZ60" s="21"/>
      <c r="BA60" s="21"/>
      <c r="BB60" s="21"/>
      <c r="BC60" s="21"/>
      <c r="BD60" s="118"/>
      <c r="BE60" s="116"/>
      <c r="BF60" s="130">
        <v>95</v>
      </c>
      <c r="BG60" s="112" t="str">
        <f>IF(BD58&gt;BD59,AZ58,IF(BD58&lt;BD59,AZ59,""))</f>
        <v/>
      </c>
      <c r="BH60" s="61"/>
      <c r="BI60" s="63"/>
      <c r="BJ60" s="25"/>
      <c r="BK60" s="116">
        <f>BH60*1000+BI60*10+BJ60</f>
        <v>0</v>
      </c>
      <c r="BL60" s="116"/>
      <c r="BM60" s="21"/>
      <c r="BN60" s="21"/>
      <c r="BO60" s="21"/>
      <c r="BP60" s="21"/>
      <c r="BQ60" s="21"/>
      <c r="BR60" s="118"/>
    </row>
    <row r="61" spans="1:84" x14ac:dyDescent="0.25">
      <c r="A61" s="16">
        <v>55</v>
      </c>
      <c r="B61" s="17" t="str" cm="1">
        <f t="array" ref="B61">INDEX(T,18+INT(MOD(R61-1,7)),lang)</f>
        <v>Thu</v>
      </c>
      <c r="C61" s="18" t="str" cm="1">
        <f t="array" ref="C61">INDEX(T,24+MONTH(R61),lang) &amp; " " &amp; DAY(R61) &amp; ", " &amp; YEAR(R61)</f>
        <v>Jun 25, 2026</v>
      </c>
      <c r="D61" s="124">
        <f t="shared" si="7"/>
        <v>0.625</v>
      </c>
      <c r="E61" s="78" t="str">
        <f>AB33</f>
        <v>Curaçao</v>
      </c>
      <c r="F61" s="19"/>
      <c r="G61" s="20"/>
      <c r="H61" s="80" t="str">
        <f>AB34</f>
        <v>Ivory Coast</v>
      </c>
      <c r="I61" s="69"/>
      <c r="J61" s="72"/>
      <c r="K61" s="70"/>
      <c r="L61" s="70"/>
      <c r="M61" s="70"/>
      <c r="N61" s="70"/>
      <c r="O61" s="70"/>
      <c r="P61" s="70"/>
      <c r="R61" s="125">
        <f>DATE(2026,6,25)+TIME(9,0,0)+gmt_delta</f>
        <v>46198.625</v>
      </c>
      <c r="S61" s="127" t="str">
        <f t="shared" si="15"/>
        <v/>
      </c>
      <c r="T61" s="127" t="str">
        <f t="shared" si="16"/>
        <v/>
      </c>
      <c r="U61" s="126">
        <f t="shared" si="8"/>
        <v>0</v>
      </c>
      <c r="V61" s="125">
        <f t="shared" si="17"/>
        <v>0</v>
      </c>
      <c r="W61" s="125">
        <f t="shared" si="18"/>
        <v>0</v>
      </c>
      <c r="X61" s="125">
        <f t="shared" si="19"/>
        <v>0</v>
      </c>
      <c r="Y61" s="125" t="str">
        <f t="shared" si="20"/>
        <v/>
      </c>
      <c r="AY61" s="21" t="str" cm="1">
        <f t="array" ref="AY61">INDEX(T,24+MONTH(BD61),lang) &amp; " " &amp; DAY(BD61) &amp; ", " &amp; YEAR(BD61) &amp; "   " &amp; (IF(HOUR(BD61)&lt;10,0,"")&amp;HOUR(BD61)) &amp; ":" &amp;  (IF(MINUTE(BD61)&lt;10,0,"")&amp;MINUTE(BD61))</f>
        <v>Jul 3, 2026   13:00</v>
      </c>
      <c r="AZ61" s="21"/>
      <c r="BA61" s="21"/>
      <c r="BB61" s="21"/>
      <c r="BC61" s="28"/>
      <c r="BD61" s="118">
        <f>DATE(2026,7,3)+TIME(7,0,0)+gmt_delta</f>
        <v>46206.541666666664</v>
      </c>
      <c r="BE61" s="119"/>
      <c r="BF61" s="131"/>
      <c r="BG61" s="26" t="str">
        <f>IF(BD62&gt;BD63,AZ62,IF(BD62&lt;BD63,AZ63,""))</f>
        <v/>
      </c>
      <c r="BH61" s="62"/>
      <c r="BI61" s="64"/>
      <c r="BJ61" s="27"/>
      <c r="BK61" s="117">
        <f>BH61*1000+BI61*10+BJ61</f>
        <v>0</v>
      </c>
      <c r="BL61" s="116"/>
      <c r="BM61" s="21"/>
      <c r="BN61" s="21"/>
      <c r="BO61" s="21"/>
      <c r="BP61" s="21"/>
      <c r="BQ61" s="21"/>
      <c r="BR61" s="118"/>
    </row>
    <row r="62" spans="1:84" x14ac:dyDescent="0.25">
      <c r="A62" s="16">
        <v>56</v>
      </c>
      <c r="B62" s="17" t="str" cm="1">
        <f t="array" ref="B62">INDEX(T,18+INT(MOD(R62-1,7)),lang)</f>
        <v>Thu</v>
      </c>
      <c r="C62" s="18" t="str" cm="1">
        <f t="array" ref="C62">INDEX(T,24+MONTH(R62),lang) &amp; " " &amp; DAY(R62) &amp; ", " &amp; YEAR(R62)</f>
        <v>Jun 25, 2026</v>
      </c>
      <c r="D62" s="124">
        <f t="shared" si="7"/>
        <v>0.625</v>
      </c>
      <c r="E62" s="78" t="str">
        <f>AB35</f>
        <v>Ecuador</v>
      </c>
      <c r="F62" s="19"/>
      <c r="G62" s="20"/>
      <c r="H62" s="80" t="str">
        <f>AB32</f>
        <v>Germany</v>
      </c>
      <c r="I62" s="69"/>
      <c r="J62" s="38" t="str" cm="1">
        <f t="array" ref="J62">INDEX(T,9,lang) &amp; " " &amp; "J"</f>
        <v>Group J</v>
      </c>
      <c r="K62" s="94" t="str" cm="1">
        <f t="array" ref="K62">INDEX(T,10,lang)</f>
        <v>PL</v>
      </c>
      <c r="L62" s="94" t="str" cm="1">
        <f t="array" ref="L62">INDEX(T,11,lang)</f>
        <v>W</v>
      </c>
      <c r="M62" s="94" t="str" cm="1">
        <f t="array" ref="M62">INDEX(T,12,lang)</f>
        <v>DRAW</v>
      </c>
      <c r="N62" s="94" t="str" cm="1">
        <f t="array" ref="N62">INDEX(T,13,lang)</f>
        <v>L</v>
      </c>
      <c r="O62" s="94" t="str" cm="1">
        <f t="array" ref="O62">INDEX(T,14,lang)</f>
        <v>GF - GA</v>
      </c>
      <c r="P62" s="95" t="str" cm="1">
        <f t="array" ref="P62">INDEX(T,15,lang)</f>
        <v>PNT</v>
      </c>
      <c r="R62" s="125">
        <f>DATE(2026,6,25)+TIME(9,0,0)+gmt_delta</f>
        <v>46198.625</v>
      </c>
      <c r="S62" s="127" t="str">
        <f t="shared" si="15"/>
        <v/>
      </c>
      <c r="T62" s="127" t="str">
        <f t="shared" si="16"/>
        <v/>
      </c>
      <c r="U62" s="126">
        <f t="shared" si="8"/>
        <v>0</v>
      </c>
      <c r="V62" s="125">
        <f t="shared" si="17"/>
        <v>0</v>
      </c>
      <c r="W62" s="125">
        <f t="shared" si="18"/>
        <v>0</v>
      </c>
      <c r="X62" s="125">
        <f t="shared" si="19"/>
        <v>0</v>
      </c>
      <c r="Y62" s="125" t="str">
        <f t="shared" si="20"/>
        <v/>
      </c>
      <c r="AA62" s="125">
        <f>COUNTIF(AN62:AN65,CONCATENATE("&gt;=",AN62))</f>
        <v>1</v>
      </c>
      <c r="AB62" s="126" t="str">
        <f>VLOOKUP("Argentina",T,lang,FALSE)</f>
        <v>Argentina</v>
      </c>
      <c r="AC62" s="125">
        <f>COUNTIF($S$7:$T$78,"=" &amp; AB62 &amp; "_win")</f>
        <v>0</v>
      </c>
      <c r="AD62" s="125">
        <f>COUNTIF($S$7:$T$78,"=" &amp; AB62 &amp; "_draw")</f>
        <v>0</v>
      </c>
      <c r="AE62" s="125">
        <f>COUNTIF($S$7:$T$78,"=" &amp; AB62 &amp; "_lose")</f>
        <v>0</v>
      </c>
      <c r="AF62" s="125">
        <f>SUMIF($E$7:$E$78,$AB62,$F$7:$F$78) + SUMIF($H$7:$H$78,$AB62,$G$7:$G$78)</f>
        <v>0</v>
      </c>
      <c r="AG62" s="125">
        <f>SUMIF($E$7:$E$78,$AB62,$G$7:$G$78) + SUMIF($H$7:$H$78,$AB62,$F$7:$F$78)</f>
        <v>0</v>
      </c>
      <c r="AI62" s="125">
        <f>AF62-AG62</f>
        <v>0</v>
      </c>
      <c r="AJ62" s="125">
        <f>AI62-AI66</f>
        <v>0</v>
      </c>
      <c r="AK62" s="125">
        <f>AC62*3+AD62</f>
        <v>0</v>
      </c>
      <c r="AL62" s="125">
        <f>AK62/AK66*10000+AW62*1000+AJ62/AJ66*100+AF62/AF66*10+IF(AM62=0,ROW(),AM62)/2000000</f>
        <v>9.3740999999999996E-4</v>
      </c>
      <c r="AM62" s="125">
        <f>VLOOKUP(AB62,db_fifarank,2,FALSE)</f>
        <v>1874.82</v>
      </c>
      <c r="AN62" s="126">
        <f>AL62/AL66</f>
        <v>9.3653208545777108E-4</v>
      </c>
      <c r="AO62" s="126" t="str">
        <f>IF(SUM(AC62:AE65)=12,J63,"1J")</f>
        <v>1J</v>
      </c>
      <c r="AP62" s="125" cm="1">
        <f t="array" ref="AP62">SUMPRODUCT(($S$7:$S$78=AB62&amp;"_win")*($U$7:$U$78))+SUMPRODUCT(($T$7:$T$78=AB62&amp;"_win")*($U$7:$U$78))</f>
        <v>0</v>
      </c>
      <c r="AQ62" s="125" cm="1">
        <f t="array" ref="AQ62">SUMPRODUCT(($S$7:$S$78=AB62&amp;"_draw")*($U$7:$U$78))+SUMPRODUCT(($T$7:$T$78=AB62&amp;"_draw")*($U$7:$U$78))</f>
        <v>0</v>
      </c>
      <c r="AR62" s="125" cm="1">
        <f t="array" ref="AR62">SUMPRODUCT(($E$7:$E$78=AB62)*($U$7:$U$78)*($F$7:$F$78))+SUMPRODUCT(($H$7:$H$78=AB62)*($U$7:$U$78)*($G$7:$G$78))</f>
        <v>0</v>
      </c>
      <c r="AS62" s="125" cm="1">
        <f t="array" ref="AS62">SUMPRODUCT(($E$7:$E$78=AB62)*($U$7:$U$78)*($G$7:$G$78))+SUMPRODUCT(($H$7:$H$78=AB62)*($U$7:$U$78)*($F$7:$F$78))</f>
        <v>0</v>
      </c>
      <c r="AT62" s="125">
        <f>AR62-AS62</f>
        <v>0</v>
      </c>
      <c r="AU62" s="125">
        <f>AT62-MIN(AT62:AT65)</f>
        <v>0</v>
      </c>
      <c r="AV62" s="125">
        <f>AP62/AP66*1000+AQ62/AQ66*100+AU62/AU66*10+AR62/AR66</f>
        <v>0</v>
      </c>
      <c r="AW62" s="125">
        <f>AV62/AV66</f>
        <v>0</v>
      </c>
      <c r="AY62" s="130">
        <v>88</v>
      </c>
      <c r="AZ62" s="24" t="str">
        <f>AO27</f>
        <v>2D</v>
      </c>
      <c r="BA62" s="61"/>
      <c r="BB62" s="63"/>
      <c r="BC62" s="25"/>
      <c r="BD62" s="120">
        <f>BA62*1000+BB62*10+BC62</f>
        <v>0</v>
      </c>
      <c r="BE62" s="116"/>
      <c r="BF62" s="21"/>
      <c r="BG62" s="21"/>
      <c r="BH62" s="21"/>
      <c r="BI62" s="21"/>
      <c r="BJ62" s="21"/>
      <c r="BK62" s="118"/>
      <c r="BL62" s="116"/>
      <c r="BM62" s="21"/>
      <c r="BN62" s="21"/>
      <c r="BO62" s="21"/>
      <c r="BP62" s="21"/>
      <c r="BQ62" s="21"/>
      <c r="BR62" s="118"/>
    </row>
    <row r="63" spans="1:84" x14ac:dyDescent="0.25">
      <c r="A63" s="16">
        <v>57</v>
      </c>
      <c r="B63" s="17" t="str" cm="1">
        <f t="array" ref="B63">INDEX(T,18+INT(MOD(R63-1,7)),lang)</f>
        <v>Thu</v>
      </c>
      <c r="C63" s="18" t="str" cm="1">
        <f t="array" ref="C63">INDEX(T,24+MONTH(R63),lang) &amp; " " &amp; DAY(R63) &amp; ", " &amp; YEAR(R63)</f>
        <v>Jun 25, 2026</v>
      </c>
      <c r="D63" s="124">
        <f t="shared" si="7"/>
        <v>0.75</v>
      </c>
      <c r="E63" s="78" t="str">
        <f>AB39</f>
        <v>Japan</v>
      </c>
      <c r="F63" s="19"/>
      <c r="G63" s="20"/>
      <c r="H63" s="80" t="str">
        <f>AB40</f>
        <v>Sweden</v>
      </c>
      <c r="I63" s="69"/>
      <c r="J63" s="30" t="str">
        <f>VLOOKUP(1,AA62:AK65,2,FALSE)</f>
        <v>Argentina</v>
      </c>
      <c r="K63" s="31">
        <f>L63+M63+N63</f>
        <v>0</v>
      </c>
      <c r="L63" s="31">
        <f>VLOOKUP(1,AA62:AK65,3,FALSE)</f>
        <v>0</v>
      </c>
      <c r="M63" s="31">
        <f>VLOOKUP(1,AA62:AK65,4,FALSE)</f>
        <v>0</v>
      </c>
      <c r="N63" s="31">
        <f>VLOOKUP(1,AA62:AK65,5,FALSE)</f>
        <v>0</v>
      </c>
      <c r="O63" s="31" t="str">
        <f>VLOOKUP(1,AA62:AK65,6,FALSE) &amp; " - " &amp; VLOOKUP(1,AA62:AK65,7,FALSE)</f>
        <v>0 - 0</v>
      </c>
      <c r="P63" s="32">
        <f>L63*3+M63</f>
        <v>0</v>
      </c>
      <c r="R63" s="125">
        <f>DATE(2026,6,25)+TIME(12,0,0)+gmt_delta</f>
        <v>46198.75</v>
      </c>
      <c r="S63" s="127" t="str">
        <f t="shared" si="15"/>
        <v/>
      </c>
      <c r="T63" s="127" t="str">
        <f t="shared" si="16"/>
        <v/>
      </c>
      <c r="U63" s="126">
        <f t="shared" si="8"/>
        <v>0</v>
      </c>
      <c r="V63" s="125">
        <f t="shared" si="17"/>
        <v>0</v>
      </c>
      <c r="W63" s="125">
        <f t="shared" si="18"/>
        <v>0</v>
      </c>
      <c r="X63" s="125">
        <f t="shared" si="19"/>
        <v>0</v>
      </c>
      <c r="Y63" s="125" t="str">
        <f t="shared" si="20"/>
        <v/>
      </c>
      <c r="AA63" s="125">
        <f>COUNTIF(AN62:AN65,CONCATENATE("&gt;=",AN63))</f>
        <v>3</v>
      </c>
      <c r="AB63" s="126" t="str">
        <f>VLOOKUP("Algeria",T,lang,FALSE)</f>
        <v>Algeria</v>
      </c>
      <c r="AC63" s="125">
        <f>COUNTIF($S$7:$T$78,"=" &amp; AB63 &amp; "_win")</f>
        <v>0</v>
      </c>
      <c r="AD63" s="125">
        <f>COUNTIF($S$7:$T$78,"=" &amp; AB63 &amp; "_draw")</f>
        <v>0</v>
      </c>
      <c r="AE63" s="125">
        <f>COUNTIF($S$7:$T$78,"=" &amp; AB63 &amp; "_lose")</f>
        <v>0</v>
      </c>
      <c r="AF63" s="125">
        <f>SUMIF($E$7:$E$78,$AB63,$F$7:$F$78) + SUMIF($H$7:$H$78,$AB63,$G$7:$G$78)</f>
        <v>0</v>
      </c>
      <c r="AG63" s="125">
        <f>SUMIF($E$7:$E$78,$AB63,$G$7:$G$78) + SUMIF($H$7:$H$78,$AB63,$F$7:$F$78)</f>
        <v>0</v>
      </c>
      <c r="AI63" s="125">
        <f>AF63-AG63</f>
        <v>0</v>
      </c>
      <c r="AJ63" s="125">
        <f>AI63-AI66</f>
        <v>0</v>
      </c>
      <c r="AK63" s="125">
        <f>AC63*3+AD63</f>
        <v>0</v>
      </c>
      <c r="AL63" s="125">
        <f>AK63/AK66*10000+AW63*1000+AJ63/AJ66*100+AF63/AF66*10+IF(AM63=0,ROW(),AM63)/2000000</f>
        <v>7.8213000000000002E-4</v>
      </c>
      <c r="AM63" s="125">
        <f>VLOOKUP(AB63,db_fifarank,2,FALSE)</f>
        <v>1564.26</v>
      </c>
      <c r="AN63" s="126">
        <f>AL63/AL66</f>
        <v>7.8139751016000102E-4</v>
      </c>
      <c r="AO63" s="126" t="str">
        <f>IF(SUM(AC62:AE65)=12,J64,"2J")</f>
        <v>2J</v>
      </c>
      <c r="AP63" s="125" cm="1">
        <f t="array" ref="AP63">SUMPRODUCT(($S$7:$S$78=AB63&amp;"_win")*($U$7:$U$78))+SUMPRODUCT(($T$7:$T$78=AB63&amp;"_win")*($U$7:$U$78))</f>
        <v>0</v>
      </c>
      <c r="AQ63" s="125" cm="1">
        <f t="array" ref="AQ63">SUMPRODUCT(($S$7:$S$78=AB63&amp;"_draw")*($U$7:$U$78))+SUMPRODUCT(($T$7:$T$78=AB63&amp;"_draw")*($U$7:$U$78))</f>
        <v>0</v>
      </c>
      <c r="AR63" s="125" cm="1">
        <f t="array" ref="AR63">SUMPRODUCT(($E$7:$E$78=AB63)*($U$7:$U$78)*($F$7:$F$78))+SUMPRODUCT(($H$7:$H$78=AB63)*($U$7:$U$78)*($G$7:$G$78))</f>
        <v>0</v>
      </c>
      <c r="AS63" s="125" cm="1">
        <f t="array" ref="AS63">SUMPRODUCT(($E$7:$E$78=AB63)*($U$7:$U$78)*($G$7:$G$78))+SUMPRODUCT(($H$7:$H$78=AB63)*($U$7:$U$78)*($F$7:$F$78))</f>
        <v>0</v>
      </c>
      <c r="AT63" s="125">
        <f>AR63-AS63</f>
        <v>0</v>
      </c>
      <c r="AU63" s="125">
        <f>AT63-MIN(AT62:AT65)</f>
        <v>0</v>
      </c>
      <c r="AV63" s="125">
        <f>AP63/AP66*1000+AQ63/AQ66*100+AU63/AU66*10+AR63/AR66</f>
        <v>0</v>
      </c>
      <c r="AW63" s="125">
        <f>AV63/AV66</f>
        <v>0</v>
      </c>
      <c r="AY63" s="131"/>
      <c r="AZ63" s="26" t="str">
        <f>AO45</f>
        <v>2G</v>
      </c>
      <c r="BA63" s="62"/>
      <c r="BB63" s="64"/>
      <c r="BC63" s="27"/>
      <c r="BD63" s="116">
        <f>BA63*1000+BB63*10+BC63</f>
        <v>0</v>
      </c>
      <c r="BE63" s="116"/>
      <c r="BF63" s="21"/>
      <c r="BG63" s="21"/>
      <c r="BH63" s="21"/>
      <c r="BI63" s="21"/>
      <c r="BJ63" s="21"/>
      <c r="BK63" s="118"/>
      <c r="BL63" s="116"/>
      <c r="BM63" s="21" t="str" cm="1">
        <f t="array" ref="BM63">INDEX(T,24+MONTH(BR63),lang) &amp; " " &amp; DAY(BR63) &amp; ", " &amp; YEAR(BR63) &amp; "   " &amp; (IF(HOUR(BR63)&lt;10,0,"")&amp;HOUR(BR63)) &amp; ":" &amp;  (IF(MINUTE(BR63)&lt;10,0,"")&amp;MINUTE(BR63))</f>
        <v>Jul 11, 2026   20:00</v>
      </c>
      <c r="BN63" s="21"/>
      <c r="BO63" s="21"/>
      <c r="BP63" s="21"/>
      <c r="BQ63" s="28"/>
      <c r="BR63" s="118">
        <f>DATE(2026,7,11)+TIME(14,0,0)+gmt_delta</f>
        <v>46214.833333333336</v>
      </c>
    </row>
    <row r="64" spans="1:84" x14ac:dyDescent="0.25">
      <c r="A64" s="16">
        <v>58</v>
      </c>
      <c r="B64" s="17" t="str" cm="1">
        <f t="array" ref="B64">INDEX(T,18+INT(MOD(R64-1,7)),lang)</f>
        <v>Thu</v>
      </c>
      <c r="C64" s="18" t="str" cm="1">
        <f t="array" ref="C64">INDEX(T,24+MONTH(R64),lang) &amp; " " &amp; DAY(R64) &amp; ", " &amp; YEAR(R64)</f>
        <v>Jun 25, 2026</v>
      </c>
      <c r="D64" s="124">
        <f t="shared" si="7"/>
        <v>0.75</v>
      </c>
      <c r="E64" s="78" t="str">
        <f>AB41</f>
        <v>Tunisia</v>
      </c>
      <c r="F64" s="19"/>
      <c r="G64" s="20"/>
      <c r="H64" s="80" t="str">
        <f>AB38</f>
        <v>Netherlands</v>
      </c>
      <c r="I64" s="69"/>
      <c r="J64" s="33" t="str">
        <f>VLOOKUP(2,AA62:AK65,2,FALSE)</f>
        <v>Austria</v>
      </c>
      <c r="K64" s="23">
        <f>L64+M64+N64</f>
        <v>0</v>
      </c>
      <c r="L64" s="23">
        <f>VLOOKUP(2,AA62:AK65,3,FALSE)</f>
        <v>0</v>
      </c>
      <c r="M64" s="23">
        <f>VLOOKUP(2,AA62:AK65,4,FALSE)</f>
        <v>0</v>
      </c>
      <c r="N64" s="23">
        <f>VLOOKUP(2,AA62:AK65,5,FALSE)</f>
        <v>0</v>
      </c>
      <c r="O64" s="23" t="str">
        <f>VLOOKUP(2,AA62:AK65,6,FALSE) &amp; " - " &amp; VLOOKUP(2,AA62:AK65,7,FALSE)</f>
        <v>0 - 0</v>
      </c>
      <c r="P64" s="34">
        <f>L64*3+M64</f>
        <v>0</v>
      </c>
      <c r="R64" s="125">
        <f>DATE(2026,6,25)+TIME(12,0,0)+gmt_delta</f>
        <v>46198.75</v>
      </c>
      <c r="S64" s="127" t="str">
        <f t="shared" si="15"/>
        <v/>
      </c>
      <c r="T64" s="127" t="str">
        <f t="shared" si="16"/>
        <v/>
      </c>
      <c r="U64" s="126">
        <f t="shared" si="8"/>
        <v>0</v>
      </c>
      <c r="V64" s="125">
        <f t="shared" si="17"/>
        <v>0</v>
      </c>
      <c r="W64" s="125">
        <f t="shared" si="18"/>
        <v>0</v>
      </c>
      <c r="X64" s="125">
        <f t="shared" si="19"/>
        <v>0</v>
      </c>
      <c r="Y64" s="125" t="str">
        <f t="shared" si="20"/>
        <v/>
      </c>
      <c r="AA64" s="125">
        <f>COUNTIF(AN62:AN65,CONCATENATE("&gt;=",AN64))</f>
        <v>2</v>
      </c>
      <c r="AB64" s="126" t="str">
        <f>VLOOKUP("Austria",T,lang,FALSE)</f>
        <v>Austria</v>
      </c>
      <c r="AC64" s="125">
        <f>COUNTIF($S$7:$T$78,"=" &amp; AB64 &amp; "_win")</f>
        <v>0</v>
      </c>
      <c r="AD64" s="125">
        <f>COUNTIF($S$7:$T$78,"=" &amp; AB64 &amp; "_draw")</f>
        <v>0</v>
      </c>
      <c r="AE64" s="125">
        <f>COUNTIF($S$7:$T$78,"=" &amp; AB64 &amp; "_lose")</f>
        <v>0</v>
      </c>
      <c r="AF64" s="125">
        <f>SUMIF($E$7:$E$78,$AB64,$F$7:$F$78) + SUMIF($H$7:$H$78,$AB64,$G$7:$G$78)</f>
        <v>0</v>
      </c>
      <c r="AG64" s="125">
        <f>SUMIF($E$7:$E$78,$AB64,$G$7:$G$78) + SUMIF($H$7:$H$78,$AB64,$F$7:$F$78)</f>
        <v>0</v>
      </c>
      <c r="AI64" s="125">
        <f>AF64-AG64</f>
        <v>0</v>
      </c>
      <c r="AJ64" s="125">
        <f>AI64-AI66</f>
        <v>0</v>
      </c>
      <c r="AK64" s="125">
        <f>AC64*3+AD64</f>
        <v>0</v>
      </c>
      <c r="AL64" s="125">
        <f>AK64/AK66*10000+AW64*1000+AJ64/AJ66*100+AF64/AF66*10+IF(AM64=0,ROW(),AM64)/2000000</f>
        <v>7.9672499999999997E-4</v>
      </c>
      <c r="AM64" s="125">
        <f>VLOOKUP(AB64,db_fifarank,2,FALSE)</f>
        <v>1593.45</v>
      </c>
      <c r="AN64" s="126">
        <f>AL64/AL66</f>
        <v>7.9597884147421369E-4</v>
      </c>
      <c r="AP64" s="125" cm="1">
        <f t="array" ref="AP64">SUMPRODUCT(($S$7:$S$78=AB64&amp;"_win")*($U$7:$U$78))+SUMPRODUCT(($T$7:$T$78=AB64&amp;"_win")*($U$7:$U$78))</f>
        <v>0</v>
      </c>
      <c r="AQ64" s="125" cm="1">
        <f t="array" ref="AQ64">SUMPRODUCT(($S$7:$S$78=AB64&amp;"_draw")*($U$7:$U$78))+SUMPRODUCT(($T$7:$T$78=AB64&amp;"_draw")*($U$7:$U$78))</f>
        <v>0</v>
      </c>
      <c r="AR64" s="125" cm="1">
        <f t="array" ref="AR64">SUMPRODUCT(($E$7:$E$78=AB64)*($U$7:$U$78)*($F$7:$F$78))+SUMPRODUCT(($H$7:$H$78=AB64)*($U$7:$U$78)*($G$7:$G$78))</f>
        <v>0</v>
      </c>
      <c r="AS64" s="125" cm="1">
        <f t="array" ref="AS64">SUMPRODUCT(($E$7:$E$78=AB64)*($U$7:$U$78)*($G$7:$G$78))+SUMPRODUCT(($H$7:$H$78=AB64)*($U$7:$U$78)*($F$7:$F$78))</f>
        <v>0</v>
      </c>
      <c r="AT64" s="125">
        <f>AR64-AS64</f>
        <v>0</v>
      </c>
      <c r="AU64" s="125">
        <f>AT64-MIN(AT62:AT65)</f>
        <v>0</v>
      </c>
      <c r="AV64" s="125">
        <f>AP64/AP66*1000+AQ64/AQ66*100+AU64/AU66*10+AR64/AR66</f>
        <v>0</v>
      </c>
      <c r="AW64" s="125">
        <f>AV64/AV66</f>
        <v>0</v>
      </c>
      <c r="AY64" s="21"/>
      <c r="AZ64" s="21"/>
      <c r="BA64" s="21"/>
      <c r="BB64" s="21"/>
      <c r="BC64" s="21"/>
      <c r="BD64" s="116"/>
      <c r="BE64" s="116"/>
      <c r="BF64" s="21"/>
      <c r="BG64" s="21"/>
      <c r="BH64" s="21"/>
      <c r="BI64" s="21"/>
      <c r="BJ64" s="21"/>
      <c r="BK64" s="118"/>
      <c r="BL64" s="116"/>
      <c r="BM64" s="130">
        <v>100</v>
      </c>
      <c r="BN64" s="112" t="str">
        <f>IF(BK60&gt;BK61,BG60,IF(BK60&lt;BK61,BG61,""))</f>
        <v/>
      </c>
      <c r="BO64" s="61"/>
      <c r="BP64" s="63"/>
      <c r="BQ64" s="25"/>
      <c r="BR64" s="120">
        <f>BO64*1000+BP64*10+BQ64</f>
        <v>0</v>
      </c>
    </row>
    <row r="65" spans="1:70" x14ac:dyDescent="0.25">
      <c r="A65" s="16">
        <v>59</v>
      </c>
      <c r="B65" s="17" t="str" cm="1">
        <f t="array" ref="B65">INDEX(T,18+INT(MOD(R65-1,7)),lang)</f>
        <v>Thu</v>
      </c>
      <c r="C65" s="18" t="str" cm="1">
        <f t="array" ref="C65">INDEX(T,24+MONTH(R65),lang) &amp; " " &amp; DAY(R65) &amp; ", " &amp; YEAR(R65)</f>
        <v>Jun 25, 2026</v>
      </c>
      <c r="D65" s="124">
        <f t="shared" si="7"/>
        <v>0.875</v>
      </c>
      <c r="E65" s="78" t="str">
        <f>AB29</f>
        <v>Turkey</v>
      </c>
      <c r="F65" s="19"/>
      <c r="G65" s="20"/>
      <c r="H65" s="80" t="str">
        <f>AB26</f>
        <v>United States</v>
      </c>
      <c r="I65" s="69"/>
      <c r="J65" s="33" t="str">
        <f>VLOOKUP(3,AA62:AK65,2,FALSE)</f>
        <v>Algeria</v>
      </c>
      <c r="K65" s="23">
        <f>L65+M65+N65</f>
        <v>0</v>
      </c>
      <c r="L65" s="23">
        <f>VLOOKUP(3,AA62:AK65,3,FALSE)</f>
        <v>0</v>
      </c>
      <c r="M65" s="23">
        <f>VLOOKUP(3,AA62:AK65,4,FALSE)</f>
        <v>0</v>
      </c>
      <c r="N65" s="23">
        <f>VLOOKUP(3,AA62:AK65,5,FALSE)</f>
        <v>0</v>
      </c>
      <c r="O65" s="23" t="str">
        <f>VLOOKUP(3,AA62:AK65,6,FALSE) &amp; " - " &amp; VLOOKUP(3,AA62:AK65,7,FALSE)</f>
        <v>0 - 0</v>
      </c>
      <c r="P65" s="34">
        <f>L65*3+M65</f>
        <v>0</v>
      </c>
      <c r="R65" s="125">
        <f>DATE(2026,6,25)+TIME(15,0,0)+gmt_delta</f>
        <v>46198.875</v>
      </c>
      <c r="S65" s="127" t="str">
        <f t="shared" si="15"/>
        <v/>
      </c>
      <c r="T65" s="127" t="str">
        <f t="shared" si="16"/>
        <v/>
      </c>
      <c r="U65" s="126">
        <f t="shared" si="8"/>
        <v>0</v>
      </c>
      <c r="V65" s="125">
        <f t="shared" si="17"/>
        <v>0</v>
      </c>
      <c r="W65" s="125">
        <f t="shared" si="18"/>
        <v>0</v>
      </c>
      <c r="X65" s="125">
        <f t="shared" si="19"/>
        <v>0</v>
      </c>
      <c r="Y65" s="125" t="str">
        <f t="shared" si="20"/>
        <v/>
      </c>
      <c r="AA65" s="125">
        <f>COUNTIF(AN62:AN65,CONCATENATE("&gt;=",AN65))</f>
        <v>4</v>
      </c>
      <c r="AB65" s="126" t="str">
        <f>VLOOKUP("Jordan",T,lang,FALSE)</f>
        <v>Jordan</v>
      </c>
      <c r="AC65" s="125">
        <f>COUNTIF($S$7:$T$78,"=" &amp; AB65 &amp; "_win")</f>
        <v>0</v>
      </c>
      <c r="AD65" s="125">
        <f>COUNTIF($S$7:$T$78,"=" &amp; AB65 &amp; "_draw")</f>
        <v>0</v>
      </c>
      <c r="AE65" s="125">
        <f>COUNTIF($S$7:$T$78,"=" &amp; AB65 &amp; "_lose")</f>
        <v>0</v>
      </c>
      <c r="AF65" s="125">
        <f>SUMIF($E$7:$E$78,$AB65,$F$7:$F$78) + SUMIF($H$7:$H$78,$AB65,$G$7:$G$78)</f>
        <v>0</v>
      </c>
      <c r="AG65" s="125">
        <f>SUMIF($E$7:$E$78,$AB65,$G$7:$G$78) + SUMIF($H$7:$H$78,$AB65,$F$7:$F$78)</f>
        <v>0</v>
      </c>
      <c r="AI65" s="125">
        <f>AF65-AG65</f>
        <v>0</v>
      </c>
      <c r="AJ65" s="125">
        <f>AI65-AI66</f>
        <v>0</v>
      </c>
      <c r="AK65" s="125">
        <f>AC65*3+AD65</f>
        <v>0</v>
      </c>
      <c r="AL65" s="125">
        <f>AK65/AK66*10000+AW65*1000+AJ65/AJ66*100+AF65/$AF$12*10+IF(AM65=0,ROW(),AM65)/2000000</f>
        <v>6.9572500000000001E-4</v>
      </c>
      <c r="AM65" s="125">
        <f>VLOOKUP(AB65,db_fifarank,2,FALSE)</f>
        <v>1391.45</v>
      </c>
      <c r="AN65" s="126">
        <f>AL65/AL66</f>
        <v>6.9507343121484491E-4</v>
      </c>
      <c r="AP65" s="125" cm="1">
        <f t="array" ref="AP65">SUMPRODUCT(($S$7:$S$78=AB65&amp;"_win")*($U$7:$U$78))+SUMPRODUCT(($T$7:$T$78=AB65&amp;"_win")*($U$7:$U$78))</f>
        <v>0</v>
      </c>
      <c r="AQ65" s="125" cm="1">
        <f t="array" ref="AQ65">SUMPRODUCT(($S$7:$S$78=AB65&amp;"_draw")*($U$7:$U$78))+SUMPRODUCT(($T$7:$T$78=AB65&amp;"_draw")*($U$7:$U$78))</f>
        <v>0</v>
      </c>
      <c r="AR65" s="125" cm="1">
        <f t="array" ref="AR65">SUMPRODUCT(($E$7:$E$78=AB65)*($U$7:$U$78)*($F$7:$F$78))+SUMPRODUCT(($H$7:$H$78=AB65)*($U$7:$U$78)*($G$7:$G$78))</f>
        <v>0</v>
      </c>
      <c r="AS65" s="125" cm="1">
        <f t="array" ref="AS65">SUMPRODUCT(($E$7:$E$78=AB65)*($U$7:$U$78)*($G$7:$G$78))+SUMPRODUCT(($H$7:$H$78=AB65)*($U$7:$U$78)*($F$7:$F$78))</f>
        <v>0</v>
      </c>
      <c r="AT65" s="125">
        <f>AR65-AS65</f>
        <v>0</v>
      </c>
      <c r="AU65" s="125">
        <f>AT65-MIN(AT62:AT65)</f>
        <v>0</v>
      </c>
      <c r="AV65" s="125">
        <f>AP65/AP66*1000+AQ65/AQ66*100+AU65/AU66*10+AR65/AR66</f>
        <v>0</v>
      </c>
      <c r="AW65" s="125">
        <f>AV65/AV66</f>
        <v>0</v>
      </c>
      <c r="AY65" s="21" t="str" cm="1">
        <f t="array" ref="AY65">INDEX(T,24+MONTH(BD65),lang) &amp; " " &amp; DAY(BD65) &amp; ", " &amp; YEAR(BD65) &amp; "   " &amp; (IF(HOUR(BD65)&lt;10,0,"")&amp;HOUR(BD65)) &amp; ":" &amp;  (IF(MINUTE(BD65)&lt;10,0,"")&amp;MINUTE(BD65))</f>
        <v>Jul 2, 2026   22:00</v>
      </c>
      <c r="AZ65" s="21"/>
      <c r="BA65" s="21"/>
      <c r="BB65" s="21"/>
      <c r="BC65" s="28"/>
      <c r="BD65" s="116">
        <f>DATE(2026,7,2)+TIME(16,0,0)+gmt_delta</f>
        <v>46205.916666666664</v>
      </c>
      <c r="BE65" s="116"/>
      <c r="BF65" s="21"/>
      <c r="BG65" s="21"/>
      <c r="BH65" s="21"/>
      <c r="BI65" s="21"/>
      <c r="BJ65" s="21"/>
      <c r="BK65" s="118"/>
      <c r="BL65" s="119"/>
      <c r="BM65" s="131"/>
      <c r="BN65" s="26" t="str">
        <f>IF(BK68&gt;BK69,BG68,IF(BK68&lt;BK69,BG69,""))</f>
        <v/>
      </c>
      <c r="BO65" s="62"/>
      <c r="BP65" s="64"/>
      <c r="BQ65" s="27"/>
      <c r="BR65" s="116">
        <f>BO65*1000+BP65*10+BQ65</f>
        <v>0</v>
      </c>
    </row>
    <row r="66" spans="1:70" x14ac:dyDescent="0.25">
      <c r="A66" s="16">
        <v>60</v>
      </c>
      <c r="B66" s="17" t="str" cm="1">
        <f t="array" ref="B66">INDEX(T,18+INT(MOD(R66-1,7)),lang)</f>
        <v>Thu</v>
      </c>
      <c r="C66" s="18" t="str" cm="1">
        <f t="array" ref="C66">INDEX(T,24+MONTH(R66),lang) &amp; " " &amp; DAY(R66) &amp; ", " &amp; YEAR(R66)</f>
        <v>Jun 25, 2026</v>
      </c>
      <c r="D66" s="124">
        <f t="shared" si="7"/>
        <v>0.875</v>
      </c>
      <c r="E66" s="78" t="str">
        <f>AB27</f>
        <v>Paraguay</v>
      </c>
      <c r="F66" s="19"/>
      <c r="G66" s="20"/>
      <c r="H66" s="80" t="str">
        <f>AB28</f>
        <v>Australia</v>
      </c>
      <c r="I66" s="69"/>
      <c r="J66" s="35" t="str">
        <f>VLOOKUP(4,AA62:AK65,2,FALSE)</f>
        <v>Jordan</v>
      </c>
      <c r="K66" s="36">
        <f>L66+M66+N66</f>
        <v>0</v>
      </c>
      <c r="L66" s="36">
        <f>VLOOKUP(4,AA62:AK65,3,FALSE)</f>
        <v>0</v>
      </c>
      <c r="M66" s="36">
        <f>VLOOKUP(4,AA62:AK65,4,FALSE)</f>
        <v>0</v>
      </c>
      <c r="N66" s="36">
        <f>VLOOKUP(4,AA62:AK65,5,FALSE)</f>
        <v>0</v>
      </c>
      <c r="O66" s="36" t="str">
        <f>VLOOKUP(4,AA62:AK65,6,FALSE) &amp; " - " &amp; VLOOKUP(4,AA62:AK65,7,FALSE)</f>
        <v>0 - 0</v>
      </c>
      <c r="P66" s="37">
        <f>L66*3+M66</f>
        <v>0</v>
      </c>
      <c r="R66" s="125">
        <f>DATE(2026,6,25)+TIME(15,0,0)+gmt_delta</f>
        <v>46198.875</v>
      </c>
      <c r="S66" s="127" t="str">
        <f t="shared" si="15"/>
        <v/>
      </c>
      <c r="T66" s="127" t="str">
        <f t="shared" si="16"/>
        <v/>
      </c>
      <c r="U66" s="126">
        <f t="shared" si="8"/>
        <v>0</v>
      </c>
      <c r="V66" s="125">
        <f t="shared" si="17"/>
        <v>0</v>
      </c>
      <c r="W66" s="125">
        <f t="shared" si="18"/>
        <v>0</v>
      </c>
      <c r="X66" s="125">
        <f t="shared" si="19"/>
        <v>0</v>
      </c>
      <c r="Y66" s="125" t="str">
        <f t="shared" si="20"/>
        <v/>
      </c>
      <c r="AC66" s="125">
        <f t="shared" ref="AC66:AE66" si="24">MAX(AC62:AC65)-MIN(AC62:AC65)+1</f>
        <v>1</v>
      </c>
      <c r="AD66" s="125">
        <f t="shared" si="24"/>
        <v>1</v>
      </c>
      <c r="AE66" s="125">
        <f t="shared" si="24"/>
        <v>1</v>
      </c>
      <c r="AF66" s="125">
        <f>MAX(AF62:AF65)+1</f>
        <v>1</v>
      </c>
      <c r="AI66" s="125">
        <f>MIN(AI62:AI65)</f>
        <v>0</v>
      </c>
      <c r="AJ66" s="125">
        <f>MAX(AJ62:AJ65)+1</f>
        <v>1</v>
      </c>
      <c r="AK66" s="125">
        <f>MAX(AK62:AK65)+1</f>
        <v>1</v>
      </c>
      <c r="AL66" s="125">
        <f>MAX(AL62:AL65)+1</f>
        <v>1.0009374099999999</v>
      </c>
      <c r="AP66" s="125">
        <f>MAX(AP62:AP65)-MIN(AP62:AP65)+1</f>
        <v>1</v>
      </c>
      <c r="AQ66" s="125">
        <f>MAX(AQ62:AQ65)-MIN(AQ62:AQ65)+1</f>
        <v>1</v>
      </c>
      <c r="AR66" s="125">
        <f>MAX(AR62:AR65)-MIN(AR62:AR65)+1</f>
        <v>1</v>
      </c>
      <c r="AS66" s="125">
        <f>MAX(AS62:AS65)-MIN(AS62:AS65)+1</f>
        <v>1</v>
      </c>
      <c r="AU66" s="125">
        <f>MAX(AU62:AU65)-MIN(AU62:AU65)+1</f>
        <v>1</v>
      </c>
      <c r="AV66" s="125">
        <f>MAX(AV62:AV65)+1</f>
        <v>1</v>
      </c>
      <c r="AY66" s="130">
        <v>85</v>
      </c>
      <c r="AZ66" s="24" t="str">
        <f>AO14</f>
        <v>1B</v>
      </c>
      <c r="BA66" s="61"/>
      <c r="BB66" s="63"/>
      <c r="BC66" s="25"/>
      <c r="BD66" s="116">
        <f>BA66*1000+BB66*10+BC66</f>
        <v>0</v>
      </c>
      <c r="BE66" s="116"/>
      <c r="BF66" s="21"/>
      <c r="BG66" s="21"/>
      <c r="BH66" s="21"/>
      <c r="BI66" s="21"/>
      <c r="BJ66" s="21"/>
      <c r="BK66" s="118"/>
    </row>
    <row r="67" spans="1:70" x14ac:dyDescent="0.25">
      <c r="A67" s="16">
        <v>61</v>
      </c>
      <c r="B67" s="17" t="str" cm="1">
        <f t="array" ref="B67">INDEX(T,18+INT(MOD(R67-1,7)),lang)</f>
        <v>Fri</v>
      </c>
      <c r="C67" s="18" t="str" cm="1">
        <f t="array" ref="C67">INDEX(T,24+MONTH(R67),lang) &amp; " " &amp; DAY(R67) &amp; ", " &amp; YEAR(R67)</f>
        <v>Jun 26, 2026</v>
      </c>
      <c r="D67" s="124">
        <f t="shared" si="7"/>
        <v>0.58333333333333337</v>
      </c>
      <c r="E67" s="78" t="str">
        <f>AB59</f>
        <v>Norway</v>
      </c>
      <c r="F67" s="19"/>
      <c r="G67" s="20"/>
      <c r="H67" s="80" t="str">
        <f>AB56</f>
        <v>France</v>
      </c>
      <c r="I67" s="69"/>
      <c r="J67" s="72"/>
      <c r="K67" s="70"/>
      <c r="L67" s="70"/>
      <c r="M67" s="70"/>
      <c r="N67" s="70"/>
      <c r="O67" s="70"/>
      <c r="P67" s="70"/>
      <c r="R67" s="125">
        <f>DATE(2026,6,26)+TIME(8,0,0)+gmt_delta</f>
        <v>46199.583333333336</v>
      </c>
      <c r="S67" s="127" t="str">
        <f t="shared" si="15"/>
        <v/>
      </c>
      <c r="T67" s="127" t="str">
        <f t="shared" si="16"/>
        <v/>
      </c>
      <c r="U67" s="126">
        <f t="shared" si="8"/>
        <v>0</v>
      </c>
      <c r="V67" s="125">
        <f t="shared" si="17"/>
        <v>0</v>
      </c>
      <c r="W67" s="125">
        <f t="shared" si="18"/>
        <v>0</v>
      </c>
      <c r="X67" s="125">
        <f t="shared" si="19"/>
        <v>0</v>
      </c>
      <c r="Y67" s="125" t="str">
        <f t="shared" si="20"/>
        <v/>
      </c>
      <c r="AY67" s="131"/>
      <c r="AZ67" s="26" t="str">
        <f>IF(group_round_completed,VLOOKUP('3rd places'!E3,AH80:AO91,8,FALSE),"3rd Group E/F/G/I/J")</f>
        <v>3rd Group E/F/G/I/J</v>
      </c>
      <c r="BA67" s="62"/>
      <c r="BB67" s="64"/>
      <c r="BC67" s="27"/>
      <c r="BD67" s="117">
        <f>BA67*1000+BB67*10+BC67</f>
        <v>0</v>
      </c>
      <c r="BE67" s="116"/>
      <c r="BF67" s="21" t="str" cm="1">
        <f t="array" ref="BF67">INDEX(T,24+MONTH(BK67),lang) &amp; " " &amp; DAY(BK67) &amp; ", " &amp; YEAR(BK67) &amp; "   " &amp; (IF(HOUR(BK67)&lt;10,0,"")&amp;HOUR(BK67)) &amp; ":" &amp;  (IF(MINUTE(BK67)&lt;10,0,"")&amp;MINUTE(BK67))</f>
        <v>Jul 7, 2026   15:00</v>
      </c>
      <c r="BG67" s="21"/>
      <c r="BH67" s="21"/>
      <c r="BI67" s="21"/>
      <c r="BJ67" s="28"/>
      <c r="BK67" s="118">
        <f>DATE(2026,7,7)+TIME(9,0,0)+gmt_delta</f>
        <v>46210.625</v>
      </c>
    </row>
    <row r="68" spans="1:70" x14ac:dyDescent="0.25">
      <c r="A68" s="16">
        <v>62</v>
      </c>
      <c r="B68" s="17" t="str" cm="1">
        <f t="array" ref="B68">INDEX(T,18+INT(MOD(R68-1,7)),lang)</f>
        <v>Fri</v>
      </c>
      <c r="C68" s="18" t="str" cm="1">
        <f t="array" ref="C68">INDEX(T,24+MONTH(R68),lang) &amp; " " &amp; DAY(R68) &amp; ", " &amp; YEAR(R68)</f>
        <v>Jun 26, 2026</v>
      </c>
      <c r="D68" s="124">
        <f t="shared" si="7"/>
        <v>0.58333333333333337</v>
      </c>
      <c r="E68" s="78" t="str">
        <f>AB57</f>
        <v>Senegal</v>
      </c>
      <c r="F68" s="19"/>
      <c r="G68" s="20"/>
      <c r="H68" s="80" t="str">
        <f>AB58</f>
        <v>Iraq</v>
      </c>
      <c r="I68" s="69"/>
      <c r="J68" s="38" t="str" cm="1">
        <f t="array" ref="J68">INDEX(T,9,lang) &amp; " " &amp; "K"</f>
        <v>Group K</v>
      </c>
      <c r="K68" s="94" t="str" cm="1">
        <f t="array" ref="K68">INDEX(T,10,lang)</f>
        <v>PL</v>
      </c>
      <c r="L68" s="94" t="str" cm="1">
        <f t="array" ref="L68">INDEX(T,11,lang)</f>
        <v>W</v>
      </c>
      <c r="M68" s="94" t="str" cm="1">
        <f t="array" ref="M68">INDEX(T,12,lang)</f>
        <v>DRAW</v>
      </c>
      <c r="N68" s="94" t="str" cm="1">
        <f t="array" ref="N68">INDEX(T,13,lang)</f>
        <v>L</v>
      </c>
      <c r="O68" s="94" t="str" cm="1">
        <f t="array" ref="O68">INDEX(T,14,lang)</f>
        <v>GF - GA</v>
      </c>
      <c r="P68" s="95" t="str" cm="1">
        <f t="array" ref="P68">INDEX(T,15,lang)</f>
        <v>PNT</v>
      </c>
      <c r="R68" s="125">
        <f>DATE(2026,6,26)+TIME(8,0,0)+gmt_delta</f>
        <v>46199.583333333336</v>
      </c>
      <c r="S68" s="127" t="str">
        <f t="shared" si="15"/>
        <v/>
      </c>
      <c r="T68" s="127" t="str">
        <f t="shared" si="16"/>
        <v/>
      </c>
      <c r="U68" s="126">
        <f t="shared" si="8"/>
        <v>0</v>
      </c>
      <c r="V68" s="125">
        <f t="shared" si="17"/>
        <v>0</v>
      </c>
      <c r="W68" s="125">
        <f t="shared" si="18"/>
        <v>0</v>
      </c>
      <c r="X68" s="125">
        <f t="shared" si="19"/>
        <v>0</v>
      </c>
      <c r="Y68" s="125" t="str">
        <f t="shared" si="20"/>
        <v/>
      </c>
      <c r="AA68" s="125">
        <f>COUNTIF(AN68:AN71,CONCATENATE("&gt;=",AN68))</f>
        <v>1</v>
      </c>
      <c r="AB68" s="126" t="str">
        <f>VLOOKUP("Portugal",T,lang,FALSE)</f>
        <v>Portugal</v>
      </c>
      <c r="AC68" s="125">
        <f>COUNTIF($S$7:$T$78,"=" &amp; AB68 &amp; "_win")</f>
        <v>0</v>
      </c>
      <c r="AD68" s="125">
        <f>COUNTIF($S$7:$T$78,"=" &amp; AB68 &amp; "_draw")</f>
        <v>0</v>
      </c>
      <c r="AE68" s="125">
        <f>COUNTIF($S$7:$T$78,"=" &amp; AB68 &amp; "_lose")</f>
        <v>0</v>
      </c>
      <c r="AF68" s="125">
        <f>SUMIF($E$7:$E$78,$AB68,$F$7:$F$78) + SUMIF($H$7:$H$78,$AB68,$G$7:$G$78)</f>
        <v>0</v>
      </c>
      <c r="AG68" s="125">
        <f>SUMIF($E$7:$E$78,$AB68,$G$7:$G$78) + SUMIF($H$7:$H$78,$AB68,$F$7:$F$78)</f>
        <v>0</v>
      </c>
      <c r="AI68" s="125">
        <f>AF68-AG68</f>
        <v>0</v>
      </c>
      <c r="AJ68" s="125">
        <f>AI68-AI72</f>
        <v>0</v>
      </c>
      <c r="AK68" s="125">
        <f>AC68*3+AD68</f>
        <v>0</v>
      </c>
      <c r="AL68" s="125">
        <f>AK68/AK72*10000+AW68*1000+AJ68/AJ72*100+AF68/AF72*10+IF(AM68=0,ROW(),AM68)/2000000</f>
        <v>8.8191499999999993E-4</v>
      </c>
      <c r="AM68" s="125">
        <f>VLOOKUP(AB68,db_fifarank,2,FALSE)</f>
        <v>1763.83</v>
      </c>
      <c r="AN68" s="126">
        <f>AL68/AL72</f>
        <v>8.8113791125899203E-4</v>
      </c>
      <c r="AO68" s="126" t="str">
        <f>IF(SUM(AC68:AE71)=12,J69,"1K")</f>
        <v>1K</v>
      </c>
      <c r="AP68" s="125" cm="1">
        <f t="array" ref="AP68">SUMPRODUCT(($S$7:$S$78=AB68&amp;"_win")*($U$7:$U$78))+SUMPRODUCT(($T$7:$T$78=AB68&amp;"_win")*($U$7:$U$78))</f>
        <v>0</v>
      </c>
      <c r="AQ68" s="125" cm="1">
        <f t="array" ref="AQ68">SUMPRODUCT(($S$7:$S$78=AB68&amp;"_draw")*($U$7:$U$78))+SUMPRODUCT(($T$7:$T$78=AB68&amp;"_draw")*($U$7:$U$78))</f>
        <v>0</v>
      </c>
      <c r="AR68" s="125" cm="1">
        <f t="array" ref="AR68">SUMPRODUCT(($E$7:$E$78=AB68)*($U$7:$U$78)*($F$7:$F$78))+SUMPRODUCT(($H$7:$H$78=AB68)*($U$7:$U$78)*($G$7:$G$78))</f>
        <v>0</v>
      </c>
      <c r="AS68" s="125" cm="1">
        <f t="array" ref="AS68">SUMPRODUCT(($E$7:$E$78=AB68)*($U$7:$U$78)*($G$7:$G$78))+SUMPRODUCT(($H$7:$H$78=AB68)*($U$7:$U$78)*($F$7:$F$78))</f>
        <v>0</v>
      </c>
      <c r="AT68" s="125">
        <f>AR68-AS68</f>
        <v>0</v>
      </c>
      <c r="AU68" s="125">
        <f>AT68-MIN(AT68:AT71)</f>
        <v>0</v>
      </c>
      <c r="AV68" s="125">
        <f>AP68/AP72*1000+AQ68/AQ72*100+AU68/AU72*10+AR68/AR72</f>
        <v>0</v>
      </c>
      <c r="AW68" s="125">
        <f>AV68/AV72</f>
        <v>0</v>
      </c>
      <c r="AY68" s="21"/>
      <c r="AZ68" s="21"/>
      <c r="BA68" s="21"/>
      <c r="BB68" s="21"/>
      <c r="BC68" s="21"/>
      <c r="BD68" s="118"/>
      <c r="BE68" s="116"/>
      <c r="BF68" s="130">
        <v>96</v>
      </c>
      <c r="BG68" s="112" t="str">
        <f>IF(BD66&gt;BD67,AZ66,IF(BD66&lt;BD67,AZ67,""))</f>
        <v/>
      </c>
      <c r="BH68" s="61"/>
      <c r="BI68" s="63"/>
      <c r="BJ68" s="25"/>
      <c r="BK68" s="120">
        <f>BH68*1000+BI68*10+BJ68</f>
        <v>0</v>
      </c>
    </row>
    <row r="69" spans="1:70" x14ac:dyDescent="0.25">
      <c r="A69" s="16">
        <v>63</v>
      </c>
      <c r="B69" s="17" t="str" cm="1">
        <f t="array" ref="B69">INDEX(T,18+INT(MOD(R69-1,7)),lang)</f>
        <v>Fri</v>
      </c>
      <c r="C69" s="18" t="str" cm="1">
        <f t="array" ref="C69">INDEX(T,24+MONTH(R69),lang) &amp; " " &amp; DAY(R69) &amp; ", " &amp; YEAR(R69)</f>
        <v>Jun 26, 2026</v>
      </c>
      <c r="D69" s="124">
        <f t="shared" si="7"/>
        <v>0.91666666666666663</v>
      </c>
      <c r="E69" s="78" t="str">
        <f>AB45</f>
        <v>Egypt</v>
      </c>
      <c r="F69" s="19"/>
      <c r="G69" s="20"/>
      <c r="H69" s="80" t="str">
        <f>AB46</f>
        <v>Iran</v>
      </c>
      <c r="I69" s="69"/>
      <c r="J69" s="30" t="str">
        <f>VLOOKUP(1,AA68:AK71,2,FALSE)</f>
        <v>Portugal</v>
      </c>
      <c r="K69" s="31">
        <f>L69+M69+N69</f>
        <v>0</v>
      </c>
      <c r="L69" s="31">
        <f>VLOOKUP(1,AA68:AK71,3,FALSE)</f>
        <v>0</v>
      </c>
      <c r="M69" s="31">
        <f>VLOOKUP(1,AA68:AK71,4,FALSE)</f>
        <v>0</v>
      </c>
      <c r="N69" s="31">
        <f>VLOOKUP(1,AA68:AK71,5,FALSE)</f>
        <v>0</v>
      </c>
      <c r="O69" s="31" t="str">
        <f>VLOOKUP(1,AA68:AK71,6,FALSE) &amp; " - " &amp; VLOOKUP(1,AA68:AK71,7,FALSE)</f>
        <v>0 - 0</v>
      </c>
      <c r="P69" s="32">
        <f>L69*3+M69</f>
        <v>0</v>
      </c>
      <c r="R69" s="125">
        <f>DATE(2026,6,26)+TIME(16,0,0)+gmt_delta</f>
        <v>46199.916666666664</v>
      </c>
      <c r="S69" s="127" t="str">
        <f t="shared" si="15"/>
        <v/>
      </c>
      <c r="T69" s="127" t="str">
        <f t="shared" si="16"/>
        <v/>
      </c>
      <c r="U69" s="126">
        <f t="shared" si="8"/>
        <v>0</v>
      </c>
      <c r="V69" s="125">
        <f t="shared" si="17"/>
        <v>0</v>
      </c>
      <c r="W69" s="125">
        <f t="shared" si="18"/>
        <v>0</v>
      </c>
      <c r="X69" s="125">
        <f t="shared" si="19"/>
        <v>0</v>
      </c>
      <c r="Y69" s="125" t="str">
        <f t="shared" si="20"/>
        <v/>
      </c>
      <c r="AA69" s="125">
        <f>COUNTIF(AN68:AN71,CONCATENATE("&gt;=",AN69))</f>
        <v>3</v>
      </c>
      <c r="AB69" s="126" t="str">
        <f>VLOOKUP("DR Congo",T,lang,FALSE)</f>
        <v>DR Congo</v>
      </c>
      <c r="AC69" s="125">
        <f>COUNTIF($S$7:$T$78,"=" &amp; AB69 &amp; "_win")</f>
        <v>0</v>
      </c>
      <c r="AD69" s="125">
        <f>COUNTIF($S$7:$T$78,"=" &amp; AB69 &amp; "_draw")</f>
        <v>0</v>
      </c>
      <c r="AE69" s="125">
        <f>COUNTIF($S$7:$T$78,"=" &amp; AB69 &amp; "_lose")</f>
        <v>0</v>
      </c>
      <c r="AF69" s="125">
        <f>SUMIF($E$7:$E$78,$AB69,$F$7:$F$78) + SUMIF($H$7:$H$78,$AB69,$G$7:$G$78)</f>
        <v>0</v>
      </c>
      <c r="AG69" s="125">
        <f>SUMIF($E$7:$E$78,$AB69,$G$7:$G$78) + SUMIF($H$7:$H$78,$AB69,$F$7:$F$78)</f>
        <v>0</v>
      </c>
      <c r="AI69" s="125">
        <f>AF69-AG69</f>
        <v>0</v>
      </c>
      <c r="AJ69" s="125">
        <f>AI69-AI72</f>
        <v>0</v>
      </c>
      <c r="AK69" s="125">
        <f>AC69*3+AD69</f>
        <v>0</v>
      </c>
      <c r="AL69" s="125">
        <f>AK69/AK72*10000+AW69*1000+AJ69/AJ72*100+AF69/AF72*10+IF(AM69=0,ROW(),AM69)/2000000</f>
        <v>7.391749999999999E-4</v>
      </c>
      <c r="AM69" s="125">
        <f>VLOOKUP(AB69,db_fifarank,2,FALSE)</f>
        <v>1478.35</v>
      </c>
      <c r="AN69" s="126">
        <f>AL69/AL72</f>
        <v>7.385236848844451E-4</v>
      </c>
      <c r="AO69" s="126" t="str">
        <f>IF(SUM(AC68:AE71)=12,J70,"2K")</f>
        <v>2K</v>
      </c>
      <c r="AP69" s="125" cm="1">
        <f t="array" ref="AP69">SUMPRODUCT(($S$7:$S$78=AB69&amp;"_win")*($U$7:$U$78))+SUMPRODUCT(($T$7:$T$78=AB69&amp;"_win")*($U$7:$U$78))</f>
        <v>0</v>
      </c>
      <c r="AQ69" s="125" cm="1">
        <f t="array" ref="AQ69">SUMPRODUCT(($S$7:$S$78=AB69&amp;"_draw")*($U$7:$U$78))+SUMPRODUCT(($T$7:$T$78=AB69&amp;"_draw")*($U$7:$U$78))</f>
        <v>0</v>
      </c>
      <c r="AR69" s="125" cm="1">
        <f t="array" ref="AR69">SUMPRODUCT(($E$7:$E$78=AB69)*($U$7:$U$78)*($F$7:$F$78))+SUMPRODUCT(($H$7:$H$78=AB69)*($U$7:$U$78)*($G$7:$G$78))</f>
        <v>0</v>
      </c>
      <c r="AS69" s="125" cm="1">
        <f t="array" ref="AS69">SUMPRODUCT(($E$7:$E$78=AB69)*($U$7:$U$78)*($G$7:$G$78))+SUMPRODUCT(($H$7:$H$78=AB69)*($U$7:$U$78)*($F$7:$F$78))</f>
        <v>0</v>
      </c>
      <c r="AT69" s="125">
        <f>AR69-AS69</f>
        <v>0</v>
      </c>
      <c r="AU69" s="125">
        <f>AT69-MIN(AT68:AT71)</f>
        <v>0</v>
      </c>
      <c r="AV69" s="125">
        <f>AP69/AP72*1000+AQ69/AQ72*100+AU69/AU72*10+AR69/AR72</f>
        <v>0</v>
      </c>
      <c r="AW69" s="125">
        <f>AV69/AV72</f>
        <v>0</v>
      </c>
      <c r="AY69" s="21" t="str" cm="1">
        <f t="array" ref="AY69">INDEX(T,24+MONTH(BD69),lang) &amp; " " &amp; DAY(BD69) &amp; ", " &amp; YEAR(BD69) &amp; "   " &amp; (IF(HOUR(BD69)&lt;10,0,"")&amp;HOUR(BD69)) &amp; ":" &amp;  (IF(MINUTE(BD69)&lt;10,0,"")&amp;MINUTE(BD69))</f>
        <v>Jul 3, 2026   20:30</v>
      </c>
      <c r="AZ69" s="21"/>
      <c r="BA69" s="21"/>
      <c r="BB69" s="21"/>
      <c r="BC69" s="28"/>
      <c r="BD69" s="118">
        <f>DATE(2026,7,3)+TIME(14,30,0)+gmt_delta</f>
        <v>46206.854166666664</v>
      </c>
      <c r="BE69" s="119"/>
      <c r="BF69" s="131"/>
      <c r="BG69" s="26" t="str">
        <f>IF(BD70&gt;BD71,AZ70,IF(BD70&lt;BD71,AZ71,""))</f>
        <v/>
      </c>
      <c r="BH69" s="62"/>
      <c r="BI69" s="64"/>
      <c r="BJ69" s="27"/>
      <c r="BK69" s="116">
        <f>BH69*1000+BI69*10+BJ69</f>
        <v>0</v>
      </c>
    </row>
    <row r="70" spans="1:70" x14ac:dyDescent="0.25">
      <c r="A70" s="16">
        <v>64</v>
      </c>
      <c r="B70" s="17" t="str" cm="1">
        <f t="array" ref="B70">INDEX(T,18+INT(MOD(R70-1,7)),lang)</f>
        <v>Fri</v>
      </c>
      <c r="C70" s="18" t="str" cm="1">
        <f t="array" ref="C70">INDEX(T,24+MONTH(R70),lang) &amp; " " &amp; DAY(R70) &amp; ", " &amp; YEAR(R70)</f>
        <v>Jun 26, 2026</v>
      </c>
      <c r="D70" s="124">
        <f t="shared" si="7"/>
        <v>0.91666666666666663</v>
      </c>
      <c r="E70" s="78" t="str">
        <f>AB47</f>
        <v>New Zealand</v>
      </c>
      <c r="F70" s="19"/>
      <c r="G70" s="20"/>
      <c r="H70" s="80" t="str">
        <f>AB44</f>
        <v>Belgium</v>
      </c>
      <c r="I70" s="69"/>
      <c r="J70" s="33" t="str">
        <f>VLOOKUP(2,AA68:AK71,2,FALSE)</f>
        <v>Colombia</v>
      </c>
      <c r="K70" s="23">
        <f>L70+M70+N70</f>
        <v>0</v>
      </c>
      <c r="L70" s="23">
        <f>VLOOKUP(2,AA68:AK71,3,FALSE)</f>
        <v>0</v>
      </c>
      <c r="M70" s="23">
        <f>VLOOKUP(2,AA68:AK71,4,FALSE)</f>
        <v>0</v>
      </c>
      <c r="N70" s="23">
        <f>VLOOKUP(2,AA68:AK71,5,FALSE)</f>
        <v>0</v>
      </c>
      <c r="O70" s="23" t="str">
        <f>VLOOKUP(2,AA68:AK71,6,FALSE) &amp; " - " &amp; VLOOKUP(2,AA68:AK71,7,FALSE)</f>
        <v>0 - 0</v>
      </c>
      <c r="P70" s="34">
        <f>L70*3+M70</f>
        <v>0</v>
      </c>
      <c r="R70" s="125">
        <f>DATE(2026,6,26)+TIME(16,0,0)+gmt_delta</f>
        <v>46199.916666666664</v>
      </c>
      <c r="S70" s="127" t="str">
        <f t="shared" si="15"/>
        <v/>
      </c>
      <c r="T70" s="127" t="str">
        <f t="shared" si="16"/>
        <v/>
      </c>
      <c r="U70" s="126">
        <f t="shared" si="8"/>
        <v>0</v>
      </c>
      <c r="V70" s="125">
        <f t="shared" si="17"/>
        <v>0</v>
      </c>
      <c r="W70" s="125">
        <f t="shared" si="18"/>
        <v>0</v>
      </c>
      <c r="X70" s="125">
        <f t="shared" si="19"/>
        <v>0</v>
      </c>
      <c r="Y70" s="125" t="str">
        <f t="shared" si="20"/>
        <v/>
      </c>
      <c r="AA70" s="125">
        <f>COUNTIF(AN68:AN71,CONCATENATE("&gt;=",AN70))</f>
        <v>4</v>
      </c>
      <c r="AB70" s="126" t="str">
        <f>VLOOKUP("Uzbekistan",T,lang,FALSE)</f>
        <v>Uzbekistan</v>
      </c>
      <c r="AC70" s="125">
        <f>COUNTIF($S$7:$T$78,"=" &amp; AB70 &amp; "_win")</f>
        <v>0</v>
      </c>
      <c r="AD70" s="125">
        <f>COUNTIF($S$7:$T$78,"=" &amp; AB70 &amp; "_draw")</f>
        <v>0</v>
      </c>
      <c r="AE70" s="125">
        <f>COUNTIF($S$7:$T$78,"=" &amp; AB70 &amp; "_lose")</f>
        <v>0</v>
      </c>
      <c r="AF70" s="125">
        <f>SUMIF($E$7:$E$78,$AB70,$F$7:$F$78) + SUMIF($H$7:$H$78,$AB70,$G$7:$G$78)</f>
        <v>0</v>
      </c>
      <c r="AG70" s="125">
        <f>SUMIF($E$7:$E$78,$AB70,$G$7:$G$78) + SUMIF($H$7:$H$78,$AB70,$F$7:$F$78)</f>
        <v>0</v>
      </c>
      <c r="AI70" s="125">
        <f>AF70-AG70</f>
        <v>0</v>
      </c>
      <c r="AJ70" s="125">
        <f>AI70-AI72</f>
        <v>0</v>
      </c>
      <c r="AK70" s="125">
        <f>AC70*3+AD70</f>
        <v>0</v>
      </c>
      <c r="AL70" s="125">
        <f>AK70/AK72*10000+AW70*1000+AJ70/AJ72*100+AF70/AF72*10+IF(AM70=0,ROW(),AM70)/2000000</f>
        <v>7.3266999999999994E-4</v>
      </c>
      <c r="AM70" s="125">
        <f>VLOOKUP(AB70,db_fifarank,2,FALSE)</f>
        <v>1465.34</v>
      </c>
      <c r="AN70" s="126">
        <f>AL70/AL72</f>
        <v>7.3202441668655794E-4</v>
      </c>
      <c r="AP70" s="125" cm="1">
        <f t="array" ref="AP70">SUMPRODUCT(($S$7:$S$78=AB70&amp;"_win")*($U$7:$U$78))+SUMPRODUCT(($T$7:$T$78=AB70&amp;"_win")*($U$7:$U$78))</f>
        <v>0</v>
      </c>
      <c r="AQ70" s="125" cm="1">
        <f t="array" ref="AQ70">SUMPRODUCT(($S$7:$S$78=AB70&amp;"_draw")*($U$7:$U$78))+SUMPRODUCT(($T$7:$T$78=AB70&amp;"_draw")*($U$7:$U$78))</f>
        <v>0</v>
      </c>
      <c r="AR70" s="125" cm="1">
        <f t="array" ref="AR70">SUMPRODUCT(($E$7:$E$78=AB70)*($U$7:$U$78)*($F$7:$F$78))+SUMPRODUCT(($H$7:$H$78=AB70)*($U$7:$U$78)*($G$7:$G$78))</f>
        <v>0</v>
      </c>
      <c r="AS70" s="125" cm="1">
        <f t="array" ref="AS70">SUMPRODUCT(($E$7:$E$78=AB70)*($U$7:$U$78)*($G$7:$G$78))+SUMPRODUCT(($H$7:$H$78=AB70)*($U$7:$U$78)*($F$7:$F$78))</f>
        <v>0</v>
      </c>
      <c r="AT70" s="125">
        <f>AR70-AS70</f>
        <v>0</v>
      </c>
      <c r="AU70" s="125">
        <f>AT70-MIN(AT68:AT71)</f>
        <v>0</v>
      </c>
      <c r="AV70" s="125">
        <f>AP70/AP72*1000+AQ70/AQ72*100+AU70/AU72*10+AR70/AR72</f>
        <v>0</v>
      </c>
      <c r="AW70" s="125">
        <f>AV70/AV72</f>
        <v>0</v>
      </c>
      <c r="AY70" s="130">
        <v>87</v>
      </c>
      <c r="AZ70" s="24" t="str">
        <f>AO68</f>
        <v>1K</v>
      </c>
      <c r="BA70" s="61"/>
      <c r="BB70" s="63"/>
      <c r="BC70" s="25"/>
      <c r="BD70" s="120">
        <f>BA70*1000+BB70*10+BC70</f>
        <v>0</v>
      </c>
      <c r="BE70" s="116"/>
      <c r="BK70" s="116"/>
    </row>
    <row r="71" spans="1:70" x14ac:dyDescent="0.25">
      <c r="A71" s="16">
        <v>65</v>
      </c>
      <c r="B71" s="17" t="str" cm="1">
        <f t="array" ref="B71">INDEX(T,18+INT(MOD(R71-1,7)),lang)</f>
        <v>Fri</v>
      </c>
      <c r="C71" s="18" t="str" cm="1">
        <f t="array" ref="C71">INDEX(T,24+MONTH(R71),lang) &amp; " " &amp; DAY(R71) &amp; ", " &amp; YEAR(R71)</f>
        <v>Jun 26, 2026</v>
      </c>
      <c r="D71" s="124">
        <f t="shared" si="7"/>
        <v>0.79166666666666663</v>
      </c>
      <c r="E71" s="78" t="str">
        <f>AB51</f>
        <v>Cape Verde</v>
      </c>
      <c r="F71" s="19"/>
      <c r="G71" s="20"/>
      <c r="H71" s="80" t="str">
        <f>AB52</f>
        <v>Saudi Arabia</v>
      </c>
      <c r="I71" s="69"/>
      <c r="J71" s="33" t="str">
        <f>VLOOKUP(3,AA68:AK71,2,FALSE)</f>
        <v>DR Congo</v>
      </c>
      <c r="K71" s="23">
        <f>L71+M71+N71</f>
        <v>0</v>
      </c>
      <c r="L71" s="23">
        <f>VLOOKUP(3,AA68:AK71,3,FALSE)</f>
        <v>0</v>
      </c>
      <c r="M71" s="23">
        <f>VLOOKUP(3,AA68:AK71,4,FALSE)</f>
        <v>0</v>
      </c>
      <c r="N71" s="23">
        <f>VLOOKUP(3,AA68:AK71,5,FALSE)</f>
        <v>0</v>
      </c>
      <c r="O71" s="23" t="str">
        <f>VLOOKUP(3,AA68:AK71,6,FALSE) &amp; " - " &amp; VLOOKUP(3,AA68:AK71,7,FALSE)</f>
        <v>0 - 0</v>
      </c>
      <c r="P71" s="34">
        <f>L71*3+M71</f>
        <v>0</v>
      </c>
      <c r="R71" s="125">
        <f>DATE(2026,6,26)+TIME(13,0,0)+gmt_delta</f>
        <v>46199.791666666664</v>
      </c>
      <c r="S71" s="127" t="str">
        <f t="shared" si="15"/>
        <v/>
      </c>
      <c r="T71" s="127" t="str">
        <f t="shared" si="16"/>
        <v/>
      </c>
      <c r="U71" s="126">
        <f t="shared" si="8"/>
        <v>0</v>
      </c>
      <c r="V71" s="125">
        <f t="shared" si="17"/>
        <v>0</v>
      </c>
      <c r="W71" s="125">
        <f t="shared" si="18"/>
        <v>0</v>
      </c>
      <c r="X71" s="125">
        <f t="shared" si="19"/>
        <v>0</v>
      </c>
      <c r="Y71" s="125" t="str">
        <f t="shared" si="20"/>
        <v/>
      </c>
      <c r="AA71" s="125">
        <f>COUNTIF(AN68:AN71,CONCATENATE("&gt;=",AN71))</f>
        <v>2</v>
      </c>
      <c r="AB71" s="126" t="str">
        <f>VLOOKUP("Colombia",T,lang,FALSE)</f>
        <v>Colombia</v>
      </c>
      <c r="AC71" s="125">
        <f>COUNTIF($S$7:$T$78,"=" &amp; AB71 &amp; "_win")</f>
        <v>0</v>
      </c>
      <c r="AD71" s="125">
        <f>COUNTIF($S$7:$T$78,"=" &amp; AB71 &amp; "_draw")</f>
        <v>0</v>
      </c>
      <c r="AE71" s="125">
        <f>COUNTIF($S$7:$T$78,"=" &amp; AB71 &amp; "_lose")</f>
        <v>0</v>
      </c>
      <c r="AF71" s="125">
        <f>SUMIF($E$7:$E$78,$AB71,$F$7:$F$78) + SUMIF($H$7:$H$78,$AB71,$G$7:$G$78)</f>
        <v>0</v>
      </c>
      <c r="AG71" s="125">
        <f>SUMIF($E$7:$E$78,$AB71,$G$7:$G$78) + SUMIF($H$7:$H$78,$AB71,$F$7:$F$78)</f>
        <v>0</v>
      </c>
      <c r="AI71" s="125">
        <f>AF71-AG71</f>
        <v>0</v>
      </c>
      <c r="AJ71" s="125">
        <f>AI71-AI72</f>
        <v>0</v>
      </c>
      <c r="AK71" s="125">
        <f>AC71*3+AD71</f>
        <v>0</v>
      </c>
      <c r="AL71" s="125">
        <f>AK71/AK72*10000+AW71*1000+AJ71/AJ72*100+AF71/$AF$12*10+IF(AM71=0,ROW(),AM71)/2000000</f>
        <v>8.4654499999999998E-4</v>
      </c>
      <c r="AM71" s="125">
        <f>VLOOKUP(AB71,db_fifarank,2,FALSE)</f>
        <v>1693.09</v>
      </c>
      <c r="AN71" s="126">
        <f>AL71/AL72</f>
        <v>8.4579907710691335E-4</v>
      </c>
      <c r="AP71" s="125" cm="1">
        <f t="array" ref="AP71">SUMPRODUCT(($S$7:$S$78=AB71&amp;"_win")*($U$7:$U$78))+SUMPRODUCT(($T$7:$T$78=AB71&amp;"_win")*($U$7:$U$78))</f>
        <v>0</v>
      </c>
      <c r="AQ71" s="125" cm="1">
        <f t="array" ref="AQ71">SUMPRODUCT(($S$7:$S$78=AB71&amp;"_draw")*($U$7:$U$78))+SUMPRODUCT(($T$7:$T$78=AB71&amp;"_draw")*($U$7:$U$78))</f>
        <v>0</v>
      </c>
      <c r="AR71" s="125" cm="1">
        <f t="array" ref="AR71">SUMPRODUCT(($E$7:$E$78=AB71)*($U$7:$U$78)*($F$7:$F$78))+SUMPRODUCT(($H$7:$H$78=AB71)*($U$7:$U$78)*($G$7:$G$78))</f>
        <v>0</v>
      </c>
      <c r="AS71" s="125" cm="1">
        <f t="array" ref="AS71">SUMPRODUCT(($E$7:$E$78=AB71)*($U$7:$U$78)*($G$7:$G$78))+SUMPRODUCT(($H$7:$H$78=AB71)*($U$7:$U$78)*($F$7:$F$78))</f>
        <v>0</v>
      </c>
      <c r="AT71" s="125">
        <f>AR71-AS71</f>
        <v>0</v>
      </c>
      <c r="AU71" s="125">
        <f>AT71-MIN(AT68:AT71)</f>
        <v>0</v>
      </c>
      <c r="AV71" s="125">
        <f>AP71/AP72*1000+AQ71/AQ72*100+AU71/AU72*10+AR71/AR72</f>
        <v>0</v>
      </c>
      <c r="AW71" s="125">
        <f>AV71/AV72</f>
        <v>0</v>
      </c>
      <c r="AY71" s="131"/>
      <c r="AZ71" s="26" t="str">
        <f>IF(group_round_completed,VLOOKUP('3rd places'!J3,AH80:AO91,8,FALSE),"3rd Group D/E/I/J/L")</f>
        <v>3rd Group D/E/I/J/L</v>
      </c>
      <c r="BA71" s="62"/>
      <c r="BB71" s="64"/>
      <c r="BC71" s="27"/>
      <c r="BD71" s="116">
        <f>BA71*1000+BB71*10+BC71</f>
        <v>0</v>
      </c>
      <c r="BE71" s="116"/>
    </row>
    <row r="72" spans="1:70" x14ac:dyDescent="0.25">
      <c r="A72" s="16">
        <v>66</v>
      </c>
      <c r="B72" s="17" t="str" cm="1">
        <f t="array" ref="B72">INDEX(T,18+INT(MOD(R72-1,7)),lang)</f>
        <v>Fri</v>
      </c>
      <c r="C72" s="18" t="str" cm="1">
        <f t="array" ref="C72">INDEX(T,24+MONTH(R72),lang) &amp; " " &amp; DAY(R72) &amp; ", " &amp; YEAR(R72)</f>
        <v>Jun 26, 2026</v>
      </c>
      <c r="D72" s="124">
        <f t="shared" ref="D72:D78" si="25">TIME(HOUR(R72),MINUTE(R72),0)</f>
        <v>0.79166666666666663</v>
      </c>
      <c r="E72" s="78" t="str">
        <f>AB53</f>
        <v>Uruguay</v>
      </c>
      <c r="F72" s="19"/>
      <c r="G72" s="20"/>
      <c r="H72" s="80" t="str">
        <f>AB50</f>
        <v>Spain</v>
      </c>
      <c r="I72" s="69"/>
      <c r="J72" s="35" t="str">
        <f>VLOOKUP(4,AA68:AK71,2,FALSE)</f>
        <v>Uzbekistan</v>
      </c>
      <c r="K72" s="36">
        <f>L72+M72+N72</f>
        <v>0</v>
      </c>
      <c r="L72" s="36">
        <f>VLOOKUP(4,AA68:AK71,3,FALSE)</f>
        <v>0</v>
      </c>
      <c r="M72" s="36">
        <f>VLOOKUP(4,AA68:AK71,4,FALSE)</f>
        <v>0</v>
      </c>
      <c r="N72" s="36">
        <f>VLOOKUP(4,AA68:AK71,5,FALSE)</f>
        <v>0</v>
      </c>
      <c r="O72" s="36" t="str">
        <f>VLOOKUP(4,AA68:AK71,6,FALSE) &amp; " - " &amp; VLOOKUP(4,AA68:AK71,7,FALSE)</f>
        <v>0 - 0</v>
      </c>
      <c r="P72" s="37">
        <f>L72*3+M72</f>
        <v>0</v>
      </c>
      <c r="R72" s="125">
        <f>DATE(2026,6,26)+TIME(13,0,0)+gmt_delta</f>
        <v>46199.791666666664</v>
      </c>
      <c r="S72" s="127" t="str">
        <f t="shared" si="15"/>
        <v/>
      </c>
      <c r="T72" s="127" t="str">
        <f t="shared" si="16"/>
        <v/>
      </c>
      <c r="U72" s="126">
        <f t="shared" ref="U72:U78" si="26">IF(S72="",0,IF(VLOOKUP(E72,$AB$8:$AK$77,10,FALSE)=VLOOKUP(H72,$AB$8:$AK$77,10,FALSE),1,0))</f>
        <v>0</v>
      </c>
      <c r="V72" s="125">
        <f t="shared" si="17"/>
        <v>0</v>
      </c>
      <c r="W72" s="125">
        <f t="shared" si="18"/>
        <v>0</v>
      </c>
      <c r="X72" s="125">
        <f t="shared" si="19"/>
        <v>0</v>
      </c>
      <c r="Y72" s="125" t="str">
        <f t="shared" si="20"/>
        <v/>
      </c>
      <c r="AC72" s="125">
        <f t="shared" ref="AC72:AE72" si="27">MAX(AC68:AC71)-MIN(AC68:AC71)+1</f>
        <v>1</v>
      </c>
      <c r="AD72" s="125">
        <f t="shared" si="27"/>
        <v>1</v>
      </c>
      <c r="AE72" s="125">
        <f t="shared" si="27"/>
        <v>1</v>
      </c>
      <c r="AF72" s="125">
        <f>MAX(AF68:AF71)+1</f>
        <v>1</v>
      </c>
      <c r="AI72" s="125">
        <f>MIN(AI68:AI71)</f>
        <v>0</v>
      </c>
      <c r="AJ72" s="125">
        <f>MAX(AJ68:AJ71)+1</f>
        <v>1</v>
      </c>
      <c r="AK72" s="125">
        <f>MAX(AK68:AK71)+1</f>
        <v>1</v>
      </c>
      <c r="AL72" s="125">
        <f>MAX(AL68:AL71)+1</f>
        <v>1.0008819149999999</v>
      </c>
      <c r="AP72" s="125">
        <f>MAX(AP68:AP71)-MIN(AP68:AP71)+1</f>
        <v>1</v>
      </c>
      <c r="AQ72" s="125">
        <f>MAX(AQ68:AQ71)-MIN(AQ68:AQ71)+1</f>
        <v>1</v>
      </c>
      <c r="AR72" s="125">
        <f>MAX(AR68:AR71)-MIN(AR68:AR71)+1</f>
        <v>1</v>
      </c>
      <c r="AS72" s="125">
        <f>MAX(AS68:AS71)-MIN(AS68:AS71)+1</f>
        <v>1</v>
      </c>
      <c r="AU72" s="125">
        <f>MAX(AU68:AU71)-MIN(AU68:AU71)+1</f>
        <v>1</v>
      </c>
      <c r="AV72" s="125">
        <f>MAX(AV68:AV71)+1</f>
        <v>1</v>
      </c>
    </row>
    <row r="73" spans="1:70" x14ac:dyDescent="0.25">
      <c r="A73" s="16">
        <v>67</v>
      </c>
      <c r="B73" s="17" t="str" cm="1">
        <f t="array" ref="B73">INDEX(T,18+INT(MOD(R73-1,7)),lang)</f>
        <v>Sat</v>
      </c>
      <c r="C73" s="18" t="str" cm="1">
        <f t="array" ref="C73">INDEX(T,24+MONTH(R73),lang) &amp; " " &amp; DAY(R73) &amp; ", " &amp; YEAR(R73)</f>
        <v>Jun 27, 2026</v>
      </c>
      <c r="D73" s="124">
        <f t="shared" si="25"/>
        <v>0.66666666666666663</v>
      </c>
      <c r="E73" s="78" t="str">
        <f>AB77</f>
        <v>Panama</v>
      </c>
      <c r="F73" s="19"/>
      <c r="G73" s="20"/>
      <c r="H73" s="80" t="str">
        <f>AB74</f>
        <v>England</v>
      </c>
      <c r="I73" s="69"/>
      <c r="J73" s="72"/>
      <c r="K73" s="70"/>
      <c r="L73" s="70"/>
      <c r="M73" s="70"/>
      <c r="N73" s="70"/>
      <c r="O73" s="70"/>
      <c r="P73" s="70"/>
      <c r="R73" s="125">
        <f>DATE(2026,6,27)+TIME(10,0,0)+gmt_delta</f>
        <v>46200.666666666664</v>
      </c>
      <c r="S73" s="127" t="str">
        <f t="shared" si="15"/>
        <v/>
      </c>
      <c r="T73" s="127" t="str">
        <f t="shared" si="16"/>
        <v/>
      </c>
      <c r="U73" s="126">
        <f t="shared" si="26"/>
        <v>0</v>
      </c>
      <c r="V73" s="125">
        <f t="shared" si="17"/>
        <v>0</v>
      </c>
      <c r="W73" s="125">
        <f t="shared" si="18"/>
        <v>0</v>
      </c>
      <c r="X73" s="125">
        <f t="shared" si="19"/>
        <v>0</v>
      </c>
      <c r="Y73" s="125" t="str">
        <f t="shared" si="20"/>
        <v/>
      </c>
    </row>
    <row r="74" spans="1:70" x14ac:dyDescent="0.25">
      <c r="A74" s="16">
        <v>68</v>
      </c>
      <c r="B74" s="17" t="str" cm="1">
        <f t="array" ref="B74">INDEX(T,18+INT(MOD(R74-1,7)),lang)</f>
        <v>Sat</v>
      </c>
      <c r="C74" s="18" t="str" cm="1">
        <f t="array" ref="C74">INDEX(T,24+MONTH(R74),lang) &amp; " " &amp; DAY(R74) &amp; ", " &amp; YEAR(R74)</f>
        <v>Jun 27, 2026</v>
      </c>
      <c r="D74" s="124">
        <f t="shared" si="25"/>
        <v>0.66666666666666663</v>
      </c>
      <c r="E74" s="78" t="str">
        <f>AB75</f>
        <v>Croatia</v>
      </c>
      <c r="F74" s="19"/>
      <c r="G74" s="20"/>
      <c r="H74" s="80" t="str">
        <f>AB76</f>
        <v>Ghana</v>
      </c>
      <c r="I74" s="69"/>
      <c r="J74" s="38" t="str" cm="1">
        <f t="array" ref="J74">INDEX(T,9,lang) &amp; " " &amp; "L"</f>
        <v>Group L</v>
      </c>
      <c r="K74" s="94" t="str" cm="1">
        <f t="array" ref="K74">INDEX(T,10,lang)</f>
        <v>PL</v>
      </c>
      <c r="L74" s="94" t="str" cm="1">
        <f t="array" ref="L74">INDEX(T,11,lang)</f>
        <v>W</v>
      </c>
      <c r="M74" s="94" t="str" cm="1">
        <f t="array" ref="M74">INDEX(T,12,lang)</f>
        <v>DRAW</v>
      </c>
      <c r="N74" s="94" t="str" cm="1">
        <f t="array" ref="N74">INDEX(T,13,lang)</f>
        <v>L</v>
      </c>
      <c r="O74" s="94" t="str" cm="1">
        <f t="array" ref="O74">INDEX(T,14,lang)</f>
        <v>GF - GA</v>
      </c>
      <c r="P74" s="95" t="str" cm="1">
        <f t="array" ref="P74">INDEX(T,15,lang)</f>
        <v>PNT</v>
      </c>
      <c r="R74" s="125">
        <f>DATE(2026,6,27)+TIME(10,0,0)+gmt_delta</f>
        <v>46200.666666666664</v>
      </c>
      <c r="S74" s="127" t="str">
        <f t="shared" si="15"/>
        <v/>
      </c>
      <c r="T74" s="127" t="str">
        <f t="shared" si="16"/>
        <v/>
      </c>
      <c r="U74" s="126">
        <f t="shared" si="26"/>
        <v>0</v>
      </c>
      <c r="V74" s="125">
        <f t="shared" si="17"/>
        <v>0</v>
      </c>
      <c r="W74" s="125">
        <f t="shared" si="18"/>
        <v>0</v>
      </c>
      <c r="X74" s="125">
        <f t="shared" si="19"/>
        <v>0</v>
      </c>
      <c r="Y74" s="125" t="str">
        <f t="shared" si="20"/>
        <v/>
      </c>
      <c r="AA74" s="125">
        <f>COUNTIF(AN74:AN77,CONCATENATE("&gt;=",AN74))</f>
        <v>1</v>
      </c>
      <c r="AB74" s="126" t="str">
        <f>VLOOKUP("England",T,lang,FALSE)</f>
        <v>England</v>
      </c>
      <c r="AC74" s="125">
        <f>COUNTIF($S$7:$T$78,"=" &amp; AB74 &amp; "_win")</f>
        <v>0</v>
      </c>
      <c r="AD74" s="125">
        <f>COUNTIF($S$7:$T$78,"=" &amp; AB74 &amp; "_draw")</f>
        <v>0</v>
      </c>
      <c r="AE74" s="125">
        <f>COUNTIF($S$7:$T$78,"=" &amp; AB74 &amp; "_lose")</f>
        <v>0</v>
      </c>
      <c r="AF74" s="125">
        <f>SUMIF($E$7:$E$78,$AB74,$F$7:$F$78) + SUMIF($H$7:$H$78,$AB74,$G$7:$G$78)</f>
        <v>0</v>
      </c>
      <c r="AG74" s="125">
        <f>SUMIF($E$7:$E$78,$AB74,$G$7:$G$78) + SUMIF($H$7:$H$78,$AB74,$F$7:$F$78)</f>
        <v>0</v>
      </c>
      <c r="AI74" s="125">
        <f>AF74-AG74</f>
        <v>0</v>
      </c>
      <c r="AJ74" s="125">
        <f>AI74-AI78</f>
        <v>0</v>
      </c>
      <c r="AK74" s="125">
        <f>AC74*3+AD74</f>
        <v>0</v>
      </c>
      <c r="AL74" s="125">
        <f>AK74/AK78*10000+AW74*1000+AJ74/AJ78*100+AF74/AF78*10+IF(AM74=0,ROW(),AM74)/2000000</f>
        <v>9.1298500000000006E-4</v>
      </c>
      <c r="AM74" s="125">
        <f>VLOOKUP(AB74,db_fifarank,2,FALSE)</f>
        <v>1825.97</v>
      </c>
      <c r="AN74" s="126">
        <f>AL74/AL78</f>
        <v>9.1215221870660421E-4</v>
      </c>
      <c r="AO74" s="126" t="str">
        <f>IF(SUM(AC74:AE77)=12,J75,"1L")</f>
        <v>1L</v>
      </c>
      <c r="AP74" s="125" cm="1">
        <f t="array" ref="AP74">SUMPRODUCT(($S$7:$S$78=AB74&amp;"_win")*($U$7:$U$78))+SUMPRODUCT(($T$7:$T$78=AB74&amp;"_win")*($U$7:$U$78))</f>
        <v>0</v>
      </c>
      <c r="AQ74" s="125" cm="1">
        <f t="array" ref="AQ74">SUMPRODUCT(($S$7:$S$78=AB74&amp;"_draw")*($U$7:$U$78))+SUMPRODUCT(($T$7:$T$78=AB74&amp;"_draw")*($U$7:$U$78))</f>
        <v>0</v>
      </c>
      <c r="AR74" s="125" cm="1">
        <f t="array" ref="AR74">SUMPRODUCT(($E$7:$E$78=AB74)*($U$7:$U$78)*($F$7:$F$78))+SUMPRODUCT(($H$7:$H$78=AB74)*($U$7:$U$78)*($G$7:$G$78))</f>
        <v>0</v>
      </c>
      <c r="AS74" s="125" cm="1">
        <f t="array" ref="AS74">SUMPRODUCT(($E$7:$E$78=AB74)*($U$7:$U$78)*($G$7:$G$78))+SUMPRODUCT(($H$7:$H$78=AB74)*($U$7:$U$78)*($F$7:$F$78))</f>
        <v>0</v>
      </c>
      <c r="AT74" s="125">
        <f>AR74-AS74</f>
        <v>0</v>
      </c>
      <c r="AU74" s="125">
        <f>AT74-MIN(AT74:AT77)</f>
        <v>0</v>
      </c>
      <c r="AV74" s="125">
        <f>AP74/AP78*1000+AQ74/AQ78*100+AU74/AU78*10+AR74/AR78</f>
        <v>0</v>
      </c>
      <c r="AW74" s="125">
        <f>AV74/AV78</f>
        <v>0</v>
      </c>
    </row>
    <row r="75" spans="1:70" x14ac:dyDescent="0.25">
      <c r="A75" s="16">
        <v>69</v>
      </c>
      <c r="B75" s="17" t="str" cm="1">
        <f t="array" ref="B75">INDEX(T,18+INT(MOD(R75-1,7)),lang)</f>
        <v>Sat</v>
      </c>
      <c r="C75" s="18" t="str" cm="1">
        <f t="array" ref="C75">INDEX(T,24+MONTH(R75),lang) &amp; " " &amp; DAY(R75) &amp; ", " &amp; YEAR(R75)</f>
        <v>Jun 27, 2026</v>
      </c>
      <c r="D75" s="124">
        <f t="shared" si="25"/>
        <v>0.875</v>
      </c>
      <c r="E75" s="78" t="str">
        <f>AB63</f>
        <v>Algeria</v>
      </c>
      <c r="F75" s="19"/>
      <c r="G75" s="20"/>
      <c r="H75" s="80" t="str">
        <f>AB64</f>
        <v>Austria</v>
      </c>
      <c r="I75" s="69"/>
      <c r="J75" s="30" t="str">
        <f>VLOOKUP(1,AA74:AK77,2,FALSE)</f>
        <v>England</v>
      </c>
      <c r="K75" s="31">
        <f>L75+M75+N75</f>
        <v>0</v>
      </c>
      <c r="L75" s="31">
        <f>VLOOKUP(1,AA74:AK77,3,FALSE)</f>
        <v>0</v>
      </c>
      <c r="M75" s="31">
        <f>VLOOKUP(1,AA74:AK77,4,FALSE)</f>
        <v>0</v>
      </c>
      <c r="N75" s="31">
        <f>VLOOKUP(1,AA74:AK77,5,FALSE)</f>
        <v>0</v>
      </c>
      <c r="O75" s="31" t="str">
        <f>VLOOKUP(1,AA74:AK77,6,FALSE) &amp; " - " &amp; VLOOKUP(1,AA74:AK77,7,FALSE)</f>
        <v>0 - 0</v>
      </c>
      <c r="P75" s="32">
        <f>L75*3+M75</f>
        <v>0</v>
      </c>
      <c r="R75" s="125">
        <f>DATE(2026,6,27)+TIME(15,0,0)+gmt_delta</f>
        <v>46200.875</v>
      </c>
      <c r="S75" s="127" t="str">
        <f t="shared" si="15"/>
        <v/>
      </c>
      <c r="T75" s="127" t="str">
        <f t="shared" si="16"/>
        <v/>
      </c>
      <c r="U75" s="126">
        <f t="shared" si="26"/>
        <v>0</v>
      </c>
      <c r="V75" s="125">
        <f t="shared" si="17"/>
        <v>0</v>
      </c>
      <c r="W75" s="125">
        <f t="shared" si="18"/>
        <v>0</v>
      </c>
      <c r="X75" s="125">
        <f t="shared" si="19"/>
        <v>1</v>
      </c>
      <c r="Y75" s="125" t="str">
        <f t="shared" si="20"/>
        <v/>
      </c>
      <c r="AA75" s="125">
        <f>COUNTIF(AN74:AN77,CONCATENATE("&gt;=",AN75))</f>
        <v>2</v>
      </c>
      <c r="AB75" s="126" t="str">
        <f>VLOOKUP("Croatia",T,lang,FALSE)</f>
        <v>Croatia</v>
      </c>
      <c r="AC75" s="125">
        <f>COUNTIF($S$7:$T$78,"=" &amp; AB75 &amp; "_win")</f>
        <v>0</v>
      </c>
      <c r="AD75" s="125">
        <f>COUNTIF($S$7:$T$78,"=" &amp; AB75 &amp; "_draw")</f>
        <v>0</v>
      </c>
      <c r="AE75" s="125">
        <f>COUNTIF($S$7:$T$78,"=" &amp; AB75 &amp; "_lose")</f>
        <v>0</v>
      </c>
      <c r="AF75" s="125">
        <f>SUMIF($E$7:$E$78,$AB75,$F$7:$F$78) + SUMIF($H$7:$H$78,$AB75,$G$7:$G$78)</f>
        <v>0</v>
      </c>
      <c r="AG75" s="125">
        <f>SUMIF($E$7:$E$78,$AB75,$G$7:$G$78) + SUMIF($H$7:$H$78,$AB75,$F$7:$F$78)</f>
        <v>0</v>
      </c>
      <c r="AI75" s="125">
        <f>AF75-AG75</f>
        <v>0</v>
      </c>
      <c r="AJ75" s="125">
        <f>AI75-AI78</f>
        <v>0</v>
      </c>
      <c r="AK75" s="125">
        <f>AC75*3+AD75</f>
        <v>0</v>
      </c>
      <c r="AL75" s="125">
        <f>AK75/AK78*10000+AW75*1000+AJ75/AJ78*100+AF75/AF78*10+IF(AM75=0,ROW(),AM75)/2000000</f>
        <v>8.5853500000000001E-4</v>
      </c>
      <c r="AM75" s="125">
        <f>VLOOKUP(AB75,db_fifarank,2,FALSE)</f>
        <v>1717.07</v>
      </c>
      <c r="AN75" s="126">
        <f>AL75/AL78</f>
        <v>8.5775188539491268E-4</v>
      </c>
      <c r="AO75" s="126" t="str">
        <f>IF(SUM(AC74:AE77)=12,J76,"2L")</f>
        <v>2L</v>
      </c>
      <c r="AP75" s="125" cm="1">
        <f t="array" ref="AP75">SUMPRODUCT(($S$7:$S$78=AB75&amp;"_win")*($U$7:$U$78))+SUMPRODUCT(($T$7:$T$78=AB75&amp;"_win")*($U$7:$U$78))</f>
        <v>0</v>
      </c>
      <c r="AQ75" s="125" cm="1">
        <f t="array" ref="AQ75">SUMPRODUCT(($S$7:$S$78=AB75&amp;"_draw")*($U$7:$U$78))+SUMPRODUCT(($T$7:$T$78=AB75&amp;"_draw")*($U$7:$U$78))</f>
        <v>0</v>
      </c>
      <c r="AR75" s="125" cm="1">
        <f t="array" ref="AR75">SUMPRODUCT(($E$7:$E$78=AB75)*($U$7:$U$78)*($F$7:$F$78))+SUMPRODUCT(($H$7:$H$78=AB75)*($U$7:$U$78)*($G$7:$G$78))</f>
        <v>0</v>
      </c>
      <c r="AS75" s="125" cm="1">
        <f t="array" ref="AS75">SUMPRODUCT(($E$7:$E$78=AB75)*($U$7:$U$78)*($G$7:$G$78))+SUMPRODUCT(($H$7:$H$78=AB75)*($U$7:$U$78)*($F$7:$F$78))</f>
        <v>0</v>
      </c>
      <c r="AT75" s="125">
        <f>AR75-AS75</f>
        <v>0</v>
      </c>
      <c r="AU75" s="125">
        <f>AT75-MIN(AT74:AT77)</f>
        <v>0</v>
      </c>
      <c r="AV75" s="125">
        <f>AP75/AP78*1000+AQ75/AQ78*100+AU75/AU78*10+AR75/AR78</f>
        <v>0</v>
      </c>
      <c r="AW75" s="125">
        <f>AV75/AV78</f>
        <v>0</v>
      </c>
    </row>
    <row r="76" spans="1:70" x14ac:dyDescent="0.25">
      <c r="A76" s="16">
        <v>70</v>
      </c>
      <c r="B76" s="17" t="str" cm="1">
        <f t="array" ref="B76">INDEX(T,18+INT(MOD(R76-1,7)),lang)</f>
        <v>Sat</v>
      </c>
      <c r="C76" s="18" t="str" cm="1">
        <f t="array" ref="C76">INDEX(T,24+MONTH(R76),lang) &amp; " " &amp; DAY(R76) &amp; ", " &amp; YEAR(R76)</f>
        <v>Jun 27, 2026</v>
      </c>
      <c r="D76" s="124">
        <f t="shared" si="25"/>
        <v>0.875</v>
      </c>
      <c r="E76" s="78" t="str">
        <f>AB65</f>
        <v>Jordan</v>
      </c>
      <c r="F76" s="19"/>
      <c r="G76" s="20"/>
      <c r="H76" s="80" t="str">
        <f>AB62</f>
        <v>Argentina</v>
      </c>
      <c r="I76" s="69"/>
      <c r="J76" s="33" t="str">
        <f>VLOOKUP(2,AA74:AK77,2,FALSE)</f>
        <v>Croatia</v>
      </c>
      <c r="K76" s="23">
        <f>L76+M76+N76</f>
        <v>0</v>
      </c>
      <c r="L76" s="23">
        <f>VLOOKUP(2,AA74:AK77,3,FALSE)</f>
        <v>0</v>
      </c>
      <c r="M76" s="23">
        <f>VLOOKUP(2,AA74:AK77,4,FALSE)</f>
        <v>0</v>
      </c>
      <c r="N76" s="23">
        <f>VLOOKUP(2,AA74:AK77,5,FALSE)</f>
        <v>0</v>
      </c>
      <c r="O76" s="23" t="str">
        <f>VLOOKUP(2,AA74:AK77,6,FALSE) &amp; " - " &amp; VLOOKUP(2,AA74:AK77,7,FALSE)</f>
        <v>0 - 0</v>
      </c>
      <c r="P76" s="34">
        <f>L76*3+M76</f>
        <v>0</v>
      </c>
      <c r="R76" s="125">
        <f>DATE(2026,6,27)+TIME(15,0,0)+gmt_delta</f>
        <v>46200.875</v>
      </c>
      <c r="S76" s="127" t="str">
        <f t="shared" si="15"/>
        <v/>
      </c>
      <c r="T76" s="127" t="str">
        <f t="shared" si="16"/>
        <v/>
      </c>
      <c r="U76" s="126">
        <f t="shared" si="26"/>
        <v>0</v>
      </c>
      <c r="V76" s="125">
        <f t="shared" si="17"/>
        <v>0</v>
      </c>
      <c r="W76" s="125">
        <f t="shared" si="18"/>
        <v>0</v>
      </c>
      <c r="X76" s="125">
        <f t="shared" si="19"/>
        <v>0</v>
      </c>
      <c r="Y76" s="125" t="str">
        <f t="shared" si="20"/>
        <v/>
      </c>
      <c r="AA76" s="125">
        <f>COUNTIF(AN74:AN77,CONCATENATE("&gt;=",AN76))</f>
        <v>4</v>
      </c>
      <c r="AB76" s="126" t="str">
        <f>VLOOKUP("Ghana",T,lang,FALSE)</f>
        <v>Ghana</v>
      </c>
      <c r="AC76" s="125">
        <f>COUNTIF($S$7:$T$78,"=" &amp; AB76 &amp; "_win")</f>
        <v>0</v>
      </c>
      <c r="AD76" s="125">
        <f>COUNTIF($S$7:$T$78,"=" &amp; AB76 &amp; "_draw")</f>
        <v>0</v>
      </c>
      <c r="AE76" s="125">
        <f>COUNTIF($S$7:$T$78,"=" &amp; AB76 &amp; "_lose")</f>
        <v>0</v>
      </c>
      <c r="AF76" s="125">
        <f>SUMIF($E$7:$E$78,$AB76,$F$7:$F$78) + SUMIF($H$7:$H$78,$AB76,$G$7:$G$78)</f>
        <v>0</v>
      </c>
      <c r="AG76" s="125">
        <f>SUMIF($E$7:$E$78,$AB76,$G$7:$G$78) + SUMIF($H$7:$H$78,$AB76,$F$7:$F$78)</f>
        <v>0</v>
      </c>
      <c r="AI76" s="125">
        <f>AF76-AG76</f>
        <v>0</v>
      </c>
      <c r="AJ76" s="125">
        <f>AI76-AI78</f>
        <v>0</v>
      </c>
      <c r="AK76" s="125">
        <f>AC76*3+AD76</f>
        <v>0</v>
      </c>
      <c r="AL76" s="125">
        <f>AK76/AK78*10000+AW76*1000+AJ76/AJ78*100+AF76/AF78*10+IF(AM76=0,ROW(),AM76)/2000000</f>
        <v>6.7315499999999993E-4</v>
      </c>
      <c r="AM76" s="125">
        <f>VLOOKUP(AB76,db_fifarank,2,FALSE)</f>
        <v>1346.31</v>
      </c>
      <c r="AN76" s="126">
        <f>AL76/AL78</f>
        <v>6.7254098017321647E-4</v>
      </c>
      <c r="AP76" s="125" cm="1">
        <f t="array" ref="AP76">SUMPRODUCT(($S$7:$S$78=AB76&amp;"_win")*($U$7:$U$78))+SUMPRODUCT(($T$7:$T$78=AB76&amp;"_win")*($U$7:$U$78))</f>
        <v>0</v>
      </c>
      <c r="AQ76" s="125" cm="1">
        <f t="array" ref="AQ76">SUMPRODUCT(($S$7:$S$78=AB76&amp;"_draw")*($U$7:$U$78))+SUMPRODUCT(($T$7:$T$78=AB76&amp;"_draw")*($U$7:$U$78))</f>
        <v>0</v>
      </c>
      <c r="AR76" s="125" cm="1">
        <f t="array" ref="AR76">SUMPRODUCT(($E$7:$E$78=AB76)*($U$7:$U$78)*($F$7:$F$78))+SUMPRODUCT(($H$7:$H$78=AB76)*($U$7:$U$78)*($G$7:$G$78))</f>
        <v>0</v>
      </c>
      <c r="AS76" s="125" cm="1">
        <f t="array" ref="AS76">SUMPRODUCT(($E$7:$E$78=AB76)*($U$7:$U$78)*($G$7:$G$78))+SUMPRODUCT(($H$7:$H$78=AB76)*($U$7:$U$78)*($F$7:$F$78))</f>
        <v>0</v>
      </c>
      <c r="AT76" s="125">
        <f>AR76-AS76</f>
        <v>0</v>
      </c>
      <c r="AU76" s="125">
        <f>AT76-MIN(AT74:AT77)</f>
        <v>0</v>
      </c>
      <c r="AV76" s="125">
        <f>AP76/AP78*1000+AQ76/AQ78*100+AU76/AU78*10+AR76/AR78</f>
        <v>0</v>
      </c>
      <c r="AW76" s="125">
        <f>AV76/AV78</f>
        <v>0</v>
      </c>
    </row>
    <row r="77" spans="1:70" x14ac:dyDescent="0.25">
      <c r="A77" s="16">
        <v>71</v>
      </c>
      <c r="B77" s="17" t="str" cm="1">
        <f t="array" ref="B77">INDEX(T,18+INT(MOD(R77-1,7)),lang)</f>
        <v>Sat</v>
      </c>
      <c r="C77" s="18" t="str" cm="1">
        <f t="array" ref="C77">INDEX(T,24+MONTH(R77),lang) &amp; " " &amp; DAY(R77) &amp; ", " &amp; YEAR(R77)</f>
        <v>Jun 27, 2026</v>
      </c>
      <c r="D77" s="124">
        <f t="shared" si="25"/>
        <v>0.77083333333333337</v>
      </c>
      <c r="E77" s="78" t="str">
        <f>AB71</f>
        <v>Colombia</v>
      </c>
      <c r="F77" s="19"/>
      <c r="G77" s="20"/>
      <c r="H77" s="80" t="str">
        <f>AB68</f>
        <v>Portugal</v>
      </c>
      <c r="I77" s="69"/>
      <c r="J77" s="33" t="str">
        <f>VLOOKUP(3,AA74:AK77,2,FALSE)</f>
        <v>Panama</v>
      </c>
      <c r="K77" s="23">
        <f>L77+M77+N77</f>
        <v>0</v>
      </c>
      <c r="L77" s="23">
        <f>VLOOKUP(3,AA74:AK77,3,FALSE)</f>
        <v>0</v>
      </c>
      <c r="M77" s="23">
        <f>VLOOKUP(3,AA74:AK77,4,FALSE)</f>
        <v>0</v>
      </c>
      <c r="N77" s="23">
        <f>VLOOKUP(3,AA74:AK77,5,FALSE)</f>
        <v>0</v>
      </c>
      <c r="O77" s="23" t="str">
        <f>VLOOKUP(3,AA74:AK77,6,FALSE) &amp; " - " &amp; VLOOKUP(3,AA74:AK77,7,FALSE)</f>
        <v>0 - 0</v>
      </c>
      <c r="P77" s="34">
        <f>L77*3+M77</f>
        <v>0</v>
      </c>
      <c r="R77" s="125">
        <f>DATE(2026,6,27)+TIME(12,30,0)+gmt_delta</f>
        <v>46200.770833333336</v>
      </c>
      <c r="S77" s="127" t="str">
        <f t="shared" si="15"/>
        <v/>
      </c>
      <c r="T77" s="127" t="str">
        <f t="shared" si="16"/>
        <v/>
      </c>
      <c r="U77" s="126">
        <f t="shared" si="26"/>
        <v>0</v>
      </c>
      <c r="V77" s="125">
        <f t="shared" si="17"/>
        <v>0</v>
      </c>
      <c r="W77" s="125">
        <f t="shared" si="18"/>
        <v>0</v>
      </c>
      <c r="X77" s="125">
        <f t="shared" si="19"/>
        <v>0</v>
      </c>
      <c r="Y77" s="125" t="str">
        <f t="shared" si="20"/>
        <v/>
      </c>
      <c r="AA77" s="125">
        <f>COUNTIF(AN74:AN77,CONCATENATE("&gt;=",AN77))</f>
        <v>3</v>
      </c>
      <c r="AB77" s="126" t="str">
        <f>VLOOKUP("Panama",T,lang,FALSE)</f>
        <v>Panama</v>
      </c>
      <c r="AC77" s="125">
        <f>COUNTIF($S$7:$T$78,"=" &amp; AB77 &amp; "_win")</f>
        <v>0</v>
      </c>
      <c r="AD77" s="125">
        <f>COUNTIF($S$7:$T$78,"=" &amp; AB77 &amp; "_draw")</f>
        <v>0</v>
      </c>
      <c r="AE77" s="125">
        <f>COUNTIF($S$7:$T$78,"=" &amp; AB77 &amp; "_lose")</f>
        <v>0</v>
      </c>
      <c r="AF77" s="125">
        <f>SUMIF($E$7:$E$78,$AB77,$F$7:$F$78) + SUMIF($H$7:$H$78,$AB77,$G$7:$G$78)</f>
        <v>0</v>
      </c>
      <c r="AG77" s="125">
        <f>SUMIF($E$7:$E$78,$AB77,$G$7:$G$78) + SUMIF($H$7:$H$78,$AB77,$F$7:$F$78)</f>
        <v>0</v>
      </c>
      <c r="AI77" s="125">
        <f>AF77-AG77</f>
        <v>0</v>
      </c>
      <c r="AJ77" s="125">
        <f>AI77-AI78</f>
        <v>0</v>
      </c>
      <c r="AK77" s="125">
        <f>AC77*3+AD77</f>
        <v>0</v>
      </c>
      <c r="AL77" s="125">
        <f>AK77/AK78*10000+AW77*1000+AJ77/AJ78*100+AF77/$AF$12*10+IF(AM77=0,ROW(),AM77)/2000000</f>
        <v>7.7032000000000001E-4</v>
      </c>
      <c r="AM77" s="125">
        <f>VLOOKUP(AB77,db_fifarank,2,FALSE)</f>
        <v>1540.64</v>
      </c>
      <c r="AN77" s="126">
        <f>AL77/AL78</f>
        <v>7.6961735090288596E-4</v>
      </c>
      <c r="AP77" s="125" cm="1">
        <f t="array" ref="AP77">SUMPRODUCT(($S$7:$S$78=AB77&amp;"_win")*($U$7:$U$78))+SUMPRODUCT(($T$7:$T$78=AB77&amp;"_win")*($U$7:$U$78))</f>
        <v>0</v>
      </c>
      <c r="AQ77" s="125" cm="1">
        <f t="array" ref="AQ77">SUMPRODUCT(($S$7:$S$78=AB77&amp;"_draw")*($U$7:$U$78))+SUMPRODUCT(($T$7:$T$78=AB77&amp;"_draw")*($U$7:$U$78))</f>
        <v>0</v>
      </c>
      <c r="AR77" s="125" cm="1">
        <f t="array" ref="AR77">SUMPRODUCT(($E$7:$E$78=AB77)*($U$7:$U$78)*($F$7:$F$78))+SUMPRODUCT(($H$7:$H$78=AB77)*($U$7:$U$78)*($G$7:$G$78))</f>
        <v>0</v>
      </c>
      <c r="AS77" s="125" cm="1">
        <f t="array" ref="AS77">SUMPRODUCT(($E$7:$E$78=AB77)*($U$7:$U$78)*($G$7:$G$78))+SUMPRODUCT(($H$7:$H$78=AB77)*($U$7:$U$78)*($F$7:$F$78))</f>
        <v>0</v>
      </c>
      <c r="AT77" s="125">
        <f>AR77-AS77</f>
        <v>0</v>
      </c>
      <c r="AU77" s="125">
        <f>AT77-MIN(AT74:AT77)</f>
        <v>0</v>
      </c>
      <c r="AV77" s="125">
        <f>AP77/AP78*1000+AQ77/AQ78*100+AU77/AU78*10+AR77/AR78</f>
        <v>0</v>
      </c>
      <c r="AW77" s="125">
        <f>AV77/AV78</f>
        <v>0</v>
      </c>
    </row>
    <row r="78" spans="1:70" x14ac:dyDescent="0.25">
      <c r="A78" s="16">
        <v>72</v>
      </c>
      <c r="B78" s="17" t="str" cm="1">
        <f t="array" ref="B78">INDEX(T,18+INT(MOD(R78-1,7)),lang)</f>
        <v>Sat</v>
      </c>
      <c r="C78" s="18" t="str" cm="1">
        <f t="array" ref="C78">INDEX(T,24+MONTH(R78),lang) &amp; " " &amp; DAY(R78) &amp; ", " &amp; YEAR(R78)</f>
        <v>Jun 27, 2026</v>
      </c>
      <c r="D78" s="124">
        <f t="shared" si="25"/>
        <v>0.77083333333333337</v>
      </c>
      <c r="E78" s="78" t="str">
        <f>AB69</f>
        <v>DR Congo</v>
      </c>
      <c r="F78" s="19"/>
      <c r="G78" s="20"/>
      <c r="H78" s="80" t="str">
        <f>AB70</f>
        <v>Uzbekistan</v>
      </c>
      <c r="I78" s="69"/>
      <c r="J78" s="35" t="str">
        <f>VLOOKUP(4,AA74:AK77,2,FALSE)</f>
        <v>Ghana</v>
      </c>
      <c r="K78" s="36">
        <f>L78+M78+N78</f>
        <v>0</v>
      </c>
      <c r="L78" s="36">
        <f>VLOOKUP(4,AA74:AK77,3,FALSE)</f>
        <v>0</v>
      </c>
      <c r="M78" s="36">
        <f>VLOOKUP(4,AA74:AK77,4,FALSE)</f>
        <v>0</v>
      </c>
      <c r="N78" s="36">
        <f>VLOOKUP(4,AA74:AK77,5,FALSE)</f>
        <v>0</v>
      </c>
      <c r="O78" s="36" t="str">
        <f>VLOOKUP(4,AA74:AK77,6,FALSE) &amp; " - " &amp; VLOOKUP(4,AA74:AK77,7,FALSE)</f>
        <v>0 - 0</v>
      </c>
      <c r="P78" s="37">
        <f>L78*3+M78</f>
        <v>0</v>
      </c>
      <c r="R78" s="125">
        <f>DATE(2026,6,27)+TIME(12,30,0)+gmt_delta</f>
        <v>46200.770833333336</v>
      </c>
      <c r="S78" s="127" t="str">
        <f t="shared" si="15"/>
        <v/>
      </c>
      <c r="T78" s="127" t="str">
        <f t="shared" si="16"/>
        <v/>
      </c>
      <c r="U78" s="126">
        <f t="shared" si="26"/>
        <v>0</v>
      </c>
      <c r="V78" s="125">
        <f t="shared" si="17"/>
        <v>0</v>
      </c>
      <c r="W78" s="125">
        <f t="shared" si="18"/>
        <v>0</v>
      </c>
      <c r="X78" s="125">
        <f t="shared" si="19"/>
        <v>0</v>
      </c>
      <c r="Y78" s="125" t="str">
        <f t="shared" si="20"/>
        <v/>
      </c>
      <c r="AC78" s="125">
        <f t="shared" ref="AC78:AE78" si="28">MAX(AC74:AC77)-MIN(AC74:AC77)+1</f>
        <v>1</v>
      </c>
      <c r="AD78" s="125">
        <f t="shared" si="28"/>
        <v>1</v>
      </c>
      <c r="AE78" s="125">
        <f t="shared" si="28"/>
        <v>1</v>
      </c>
      <c r="AF78" s="125">
        <f>MAX(AF74:AF77)+1</f>
        <v>1</v>
      </c>
      <c r="AI78" s="125">
        <f>MIN(AI74:AI77)</f>
        <v>0</v>
      </c>
      <c r="AJ78" s="125">
        <f>MAX(AJ74:AJ77)+1</f>
        <v>1</v>
      </c>
      <c r="AK78" s="125">
        <f>MAX(AK74:AK77)+1</f>
        <v>1</v>
      </c>
      <c r="AL78" s="125">
        <f>MAX(AL74:AL77)+1</f>
        <v>1.000912985</v>
      </c>
      <c r="AP78" s="125">
        <f>MAX(AP74:AP77)-MIN(AP74:AP77)+1</f>
        <v>1</v>
      </c>
      <c r="AQ78" s="125">
        <f>MAX(AQ74:AQ77)-MIN(AQ74:AQ77)+1</f>
        <v>1</v>
      </c>
      <c r="AR78" s="125">
        <f>MAX(AR74:AR77)-MIN(AR74:AR77)+1</f>
        <v>1</v>
      </c>
      <c r="AS78" s="125">
        <f>MAX(AS74:AS77)-MIN(AS74:AS77)+1</f>
        <v>1</v>
      </c>
      <c r="AU78" s="125">
        <f>MAX(AU74:AU77)-MIN(AU74:AU77)+1</f>
        <v>1</v>
      </c>
      <c r="AV78" s="125">
        <f>MAX(AV74:AV77)+1</f>
        <v>1</v>
      </c>
    </row>
    <row r="79" spans="1:70" x14ac:dyDescent="0.25">
      <c r="A79" s="73"/>
      <c r="B79" s="73"/>
      <c r="C79" s="73"/>
      <c r="D79" s="73"/>
      <c r="E79" s="74"/>
      <c r="F79" s="71"/>
      <c r="G79" s="71"/>
      <c r="H79" s="75"/>
      <c r="I79" s="69"/>
      <c r="J79" s="72"/>
      <c r="K79" s="70"/>
      <c r="L79" s="70"/>
      <c r="M79" s="70"/>
      <c r="N79" s="70"/>
      <c r="O79" s="70"/>
      <c r="P79" s="70"/>
    </row>
    <row r="80" spans="1:70" ht="15" customHeight="1" x14ac:dyDescent="0.25">
      <c r="A80" s="73"/>
      <c r="B80" s="73"/>
      <c r="C80" s="73"/>
      <c r="D80" s="73"/>
      <c r="E80" s="74"/>
      <c r="F80" s="71"/>
      <c r="G80" s="71"/>
      <c r="H80" s="75"/>
      <c r="I80" s="69"/>
      <c r="J80" s="93" t="str">
        <f>"3rd places"</f>
        <v>3rd places</v>
      </c>
      <c r="K80" s="94" t="str" cm="1">
        <f t="array" ref="K80">INDEX(T,10,lang)</f>
        <v>PL</v>
      </c>
      <c r="L80" s="94" t="str" cm="1">
        <f t="array" ref="L80">INDEX(T,11,lang)</f>
        <v>W</v>
      </c>
      <c r="M80" s="94" t="str" cm="1">
        <f t="array" ref="M80">INDEX(T,12,lang)</f>
        <v>DRAW</v>
      </c>
      <c r="N80" s="94" t="str" cm="1">
        <f t="array" ref="N80">INDEX(T,13,lang)</f>
        <v>L</v>
      </c>
      <c r="O80" s="94" t="str" cm="1">
        <f t="array" ref="O80">INDEX(T,14,lang)</f>
        <v>GF - GA</v>
      </c>
      <c r="P80" s="95" t="str" cm="1">
        <f t="array" ref="P80">INDEX(T,15,lang)</f>
        <v>PNT</v>
      </c>
      <c r="AA80" s="125">
        <f>COUNTIF($AL$80:$AL$91,CONCATENATE("&gt;=",AL80))</f>
        <v>8</v>
      </c>
      <c r="AB80" s="126" t="str">
        <f>J11</f>
        <v>Czech Republic</v>
      </c>
      <c r="AC80" s="125">
        <f>VLOOKUP($AB80,$AB$8:$AM$78,2,FALSE)</f>
        <v>0</v>
      </c>
      <c r="AD80" s="125">
        <f>VLOOKUP($AB80,$AB$8:$AM$78,3,FALSE)</f>
        <v>0</v>
      </c>
      <c r="AE80" s="125">
        <f>VLOOKUP($AB80,$AB$8:$AM$78,4,FALSE)</f>
        <v>0</v>
      </c>
      <c r="AF80" s="125">
        <f>VLOOKUP($AB80,$AB$8:$AM$78,5,FALSE)</f>
        <v>0</v>
      </c>
      <c r="AG80" s="125">
        <f>VLOOKUP($AB80,$AB$8:$AM$78,6,FALSE)</f>
        <v>0</v>
      </c>
      <c r="AH80" s="125" t="s">
        <v>3176</v>
      </c>
      <c r="AI80" s="125">
        <f>VLOOKUP($AB80,$AB$8:$AM$78,8,FALSE)</f>
        <v>0</v>
      </c>
      <c r="AJ80" s="125">
        <f>AI80-$AI$92</f>
        <v>0</v>
      </c>
      <c r="AK80" s="125">
        <f>VLOOKUP($AB80,$AB$8:$AM$78,10,FALSE)</f>
        <v>0</v>
      </c>
      <c r="AL80" s="125">
        <f>AK80/$AK$92*10000+AJ80/$AJ$92*1000+AF80/$AF$92*100+IF(AM80=0,ROW(),AM80)/2000000</f>
        <v>7.5069000000000004E-4</v>
      </c>
      <c r="AM80" s="125">
        <f>VLOOKUP($AB80,$AB$8:$AM$78,12,FALSE)</f>
        <v>1501.38</v>
      </c>
      <c r="AN80" s="126" t="str">
        <f>IF(AA80&lt;=8,RIGHT(AH80,1),"")</f>
        <v>A</v>
      </c>
      <c r="AO80" s="129" t="str">
        <f>IF(AA80&lt;=8,AB80,"")</f>
        <v>Czech Republic</v>
      </c>
      <c r="AP80" s="127" t="str">
        <f>"Ⓐ "&amp;AB80</f>
        <v>Ⓐ Czech Republic</v>
      </c>
    </row>
    <row r="81" spans="1:42" ht="15" customHeight="1" x14ac:dyDescent="0.25">
      <c r="A81" s="73"/>
      <c r="B81" s="73"/>
      <c r="C81" s="73"/>
      <c r="D81" s="73"/>
      <c r="E81" s="74"/>
      <c r="F81" s="71"/>
      <c r="G81" s="71"/>
      <c r="H81" s="75"/>
      <c r="I81" s="69"/>
      <c r="J81" s="96" t="str">
        <f>VLOOKUP(1,$AA$80:$AP$91,16,FALSE)</f>
        <v>Ⓓ Australia</v>
      </c>
      <c r="K81" s="97">
        <f>L81+M81+N81</f>
        <v>0</v>
      </c>
      <c r="L81" s="97">
        <f>VLOOKUP(1,$AA$80:$AK$91,3,FALSE)</f>
        <v>0</v>
      </c>
      <c r="M81" s="97">
        <f>VLOOKUP(1,$AA$80:$AK$91,4,FALSE)</f>
        <v>0</v>
      </c>
      <c r="N81" s="97">
        <f>VLOOKUP(1,$AA$80:$AK$91,5,FALSE)</f>
        <v>0</v>
      </c>
      <c r="O81" s="97" t="str">
        <f>VLOOKUP(1,$AA$80:$AK$91,6,FALSE) &amp; " - " &amp; VLOOKUP(1,$AA$80:$AK$91,7,FALSE)</f>
        <v>0 - 0</v>
      </c>
      <c r="P81" s="98">
        <f>L81*3+M81</f>
        <v>0</v>
      </c>
      <c r="AA81" s="125">
        <f t="shared" ref="AA81:AA91" si="29">COUNTIF($AL$80:$AL$91,CONCATENATE("&gt;=",AL81))</f>
        <v>11</v>
      </c>
      <c r="AB81" s="126" t="str">
        <f>J17</f>
        <v>Qatar</v>
      </c>
      <c r="AC81" s="125">
        <f t="shared" ref="AC81:AC91" si="30">VLOOKUP($AB81,$AB$8:$AM$78,2,FALSE)</f>
        <v>0</v>
      </c>
      <c r="AD81" s="125">
        <f>VLOOKUP($AB81,$AB$8:$AM$78,3,FALSE)</f>
        <v>0</v>
      </c>
      <c r="AE81" s="125">
        <f t="shared" ref="AE81:AE90" si="31">VLOOKUP($AB81,$AB$8:$AM$78,4,FALSE)</f>
        <v>0</v>
      </c>
      <c r="AF81" s="125">
        <f t="shared" ref="AF81:AF90" si="32">VLOOKUP($AB81,$AB$8:$AM$78,5,FALSE)</f>
        <v>0</v>
      </c>
      <c r="AG81" s="125">
        <f t="shared" ref="AG81:AG90" si="33">VLOOKUP($AB81,$AB$8:$AM$78,6,FALSE)</f>
        <v>0</v>
      </c>
      <c r="AH81" s="125" t="s">
        <v>3177</v>
      </c>
      <c r="AI81" s="125">
        <f t="shared" ref="AI81:AI90" si="34">VLOOKUP($AB81,$AB$8:$AM$78,8,FALSE)</f>
        <v>0</v>
      </c>
      <c r="AJ81" s="125">
        <f t="shared" ref="AJ81:AJ91" si="35">AI81-$AI$92</f>
        <v>0</v>
      </c>
      <c r="AK81" s="125">
        <f t="shared" ref="AK81:AK90" si="36">VLOOKUP($AB81,$AB$8:$AM$78,10,FALSE)</f>
        <v>0</v>
      </c>
      <c r="AL81" s="125">
        <f t="shared" ref="AL81:AL91" si="37">AK81/$AK$92*10000+AJ81/$AJ$92*1000+AF81/$AF$92*100+IF(AM81=0,ROW(),AM81)/2000000</f>
        <v>7.2747999999999997E-4</v>
      </c>
      <c r="AM81" s="125">
        <f t="shared" ref="AM81:AM90" si="38">VLOOKUP($AB81,$AB$8:$AM$78,12,FALSE)</f>
        <v>1454.96</v>
      </c>
      <c r="AN81" s="126" t="str">
        <f>AN80&amp;IF(AA81&lt;=8,RIGHT(AH81,1),"")</f>
        <v>A</v>
      </c>
      <c r="AO81" s="129" t="str">
        <f t="shared" ref="AO81:AO91" si="39">IF(AA81&lt;=8,AB81,"")</f>
        <v/>
      </c>
      <c r="AP81" s="127" t="str">
        <f>"Ⓑ "&amp;AB81</f>
        <v>Ⓑ Qatar</v>
      </c>
    </row>
    <row r="82" spans="1:42" ht="15" customHeight="1" x14ac:dyDescent="0.25">
      <c r="A82" s="73"/>
      <c r="B82" s="73"/>
      <c r="C82" s="73"/>
      <c r="D82" s="73"/>
      <c r="E82" s="74"/>
      <c r="F82" s="71"/>
      <c r="G82" s="71"/>
      <c r="H82" s="75"/>
      <c r="I82" s="69"/>
      <c r="J82" s="99" t="str">
        <f>VLOOKUP(2,$AA$80:$AP$91,16,FALSE)</f>
        <v>Ⓙ Algeria</v>
      </c>
      <c r="K82" s="100">
        <f t="shared" ref="K82:K92" si="40">L82+M82+N82</f>
        <v>0</v>
      </c>
      <c r="L82" s="100">
        <f>VLOOKUP(2,$AA$80:$AK$91,3,FALSE)</f>
        <v>0</v>
      </c>
      <c r="M82" s="100">
        <f>VLOOKUP(2,$AA$80:$AK$91,4,FALSE)</f>
        <v>0</v>
      </c>
      <c r="N82" s="100">
        <f>VLOOKUP(2,$AA$80:$AK$91,5,FALSE)</f>
        <v>0</v>
      </c>
      <c r="O82" s="100" t="str">
        <f>VLOOKUP(2,$AA$80:$AK$91,6,FALSE) &amp; " - " &amp; VLOOKUP(2,$AA$80:$AK$91,7,FALSE)</f>
        <v>0 - 0</v>
      </c>
      <c r="P82" s="101">
        <f t="shared" ref="P82:P92" si="41">L82*3+M82</f>
        <v>0</v>
      </c>
      <c r="AA82" s="125">
        <f t="shared" si="29"/>
        <v>9</v>
      </c>
      <c r="AB82" s="126" t="str">
        <f>J23</f>
        <v>Scotland</v>
      </c>
      <c r="AC82" s="125">
        <f t="shared" si="30"/>
        <v>0</v>
      </c>
      <c r="AD82" s="125">
        <f t="shared" ref="AD82:AD91" si="42">VLOOKUP($AB82,$AB$8:$AM$78,3,FALSE)</f>
        <v>0</v>
      </c>
      <c r="AE82" s="125">
        <f t="shared" si="31"/>
        <v>0</v>
      </c>
      <c r="AF82" s="125">
        <f t="shared" si="32"/>
        <v>0</v>
      </c>
      <c r="AG82" s="125">
        <f t="shared" si="33"/>
        <v>0</v>
      </c>
      <c r="AH82" s="125" t="s">
        <v>3178</v>
      </c>
      <c r="AI82" s="125">
        <f t="shared" si="34"/>
        <v>0</v>
      </c>
      <c r="AJ82" s="125">
        <f t="shared" si="35"/>
        <v>0</v>
      </c>
      <c r="AK82" s="125">
        <f t="shared" si="36"/>
        <v>0</v>
      </c>
      <c r="AL82" s="125">
        <f t="shared" si="37"/>
        <v>7.4917499999999993E-4</v>
      </c>
      <c r="AM82" s="125">
        <f t="shared" si="38"/>
        <v>1498.35</v>
      </c>
      <c r="AN82" s="126" t="str">
        <f t="shared" ref="AN82:AN91" si="43">AN81&amp;IF(AA82&lt;=8,RIGHT(AH82,1),"")</f>
        <v>A</v>
      </c>
      <c r="AO82" s="129" t="str">
        <f t="shared" si="39"/>
        <v/>
      </c>
      <c r="AP82" s="127" t="str">
        <f>"Ⓒ "&amp;AB82</f>
        <v>Ⓒ Scotland</v>
      </c>
    </row>
    <row r="83" spans="1:42" ht="15" customHeight="1" x14ac:dyDescent="0.25">
      <c r="A83" s="73"/>
      <c r="B83" s="73"/>
      <c r="C83" s="152" t="s">
        <v>3693</v>
      </c>
      <c r="D83" s="153"/>
      <c r="E83" s="153"/>
      <c r="F83" s="153"/>
      <c r="G83" s="154"/>
      <c r="H83" s="75"/>
      <c r="I83" s="69"/>
      <c r="J83" s="99" t="str">
        <f>VLOOKUP(3,$AA$80:$AP$91,16,FALSE)</f>
        <v>Ⓖ Egypt</v>
      </c>
      <c r="K83" s="100">
        <f t="shared" si="40"/>
        <v>0</v>
      </c>
      <c r="L83" s="100">
        <f>VLOOKUP(3,$AA$80:$AK$91,3,FALSE)</f>
        <v>0</v>
      </c>
      <c r="M83" s="100">
        <f>VLOOKUP(3,$AA$80:$AK$91,4,FALSE)</f>
        <v>0</v>
      </c>
      <c r="N83" s="100">
        <f>VLOOKUP(3,$AA$80:$AK$91,5,FALSE)</f>
        <v>0</v>
      </c>
      <c r="O83" s="100" t="str">
        <f>VLOOKUP(3,$AA$80:$AK$91,6,FALSE) &amp; " - " &amp; VLOOKUP(3,$AA$80:$AK$91,7,FALSE)</f>
        <v>0 - 0</v>
      </c>
      <c r="P83" s="101">
        <f t="shared" si="41"/>
        <v>0</v>
      </c>
      <c r="AA83" s="125">
        <f t="shared" si="29"/>
        <v>1</v>
      </c>
      <c r="AB83" s="126" t="str">
        <f>J29</f>
        <v>Australia</v>
      </c>
      <c r="AC83" s="125">
        <f t="shared" si="30"/>
        <v>0</v>
      </c>
      <c r="AD83" s="125">
        <f t="shared" si="42"/>
        <v>0</v>
      </c>
      <c r="AE83" s="125">
        <f t="shared" si="31"/>
        <v>0</v>
      </c>
      <c r="AF83" s="125">
        <f t="shared" si="32"/>
        <v>0</v>
      </c>
      <c r="AG83" s="125">
        <f t="shared" si="33"/>
        <v>0</v>
      </c>
      <c r="AH83" s="125" t="s">
        <v>3179</v>
      </c>
      <c r="AI83" s="125">
        <f t="shared" si="34"/>
        <v>0</v>
      </c>
      <c r="AJ83" s="125">
        <f t="shared" si="35"/>
        <v>0</v>
      </c>
      <c r="AK83" s="125">
        <f t="shared" si="36"/>
        <v>0</v>
      </c>
      <c r="AL83" s="125">
        <f t="shared" si="37"/>
        <v>7.9033500000000008E-4</v>
      </c>
      <c r="AM83" s="125">
        <f t="shared" si="38"/>
        <v>1580.67</v>
      </c>
      <c r="AN83" s="126" t="str">
        <f t="shared" si="43"/>
        <v>AD</v>
      </c>
      <c r="AO83" s="129" t="str">
        <f t="shared" si="39"/>
        <v>Australia</v>
      </c>
      <c r="AP83" s="127" t="str">
        <f>"Ⓓ "&amp;AB83</f>
        <v>Ⓓ Australia</v>
      </c>
    </row>
    <row r="84" spans="1:42" ht="15" customHeight="1" x14ac:dyDescent="0.25">
      <c r="A84" s="73"/>
      <c r="B84" s="73"/>
      <c r="C84" s="155"/>
      <c r="D84" s="156"/>
      <c r="E84" s="156"/>
      <c r="F84" s="156"/>
      <c r="G84" s="157"/>
      <c r="H84" s="75"/>
      <c r="I84" s="69"/>
      <c r="J84" s="99" t="str">
        <f>VLOOKUP(4,$AA$80:$AP$91,16,FALSE)</f>
        <v>Ⓘ Norway</v>
      </c>
      <c r="K84" s="100">
        <f t="shared" si="40"/>
        <v>0</v>
      </c>
      <c r="L84" s="100">
        <f>VLOOKUP(4,$AA$80:$AK$91,3,FALSE)</f>
        <v>0</v>
      </c>
      <c r="M84" s="100">
        <f>VLOOKUP(4,$AA$80:$AK$91,4,FALSE)</f>
        <v>0</v>
      </c>
      <c r="N84" s="100">
        <f>VLOOKUP(4,$AA$80:$AK$91,5,FALSE)</f>
        <v>0</v>
      </c>
      <c r="O84" s="100" t="str">
        <f>VLOOKUP(4,$AA$80:$AK$91,6,FALSE) &amp; " - " &amp; VLOOKUP(4,$AA$80:$AK$91,7,FALSE)</f>
        <v>0 - 0</v>
      </c>
      <c r="P84" s="101">
        <f t="shared" si="41"/>
        <v>0</v>
      </c>
      <c r="R84" s="125">
        <f>DATE(2026,12,3)+TIME(4,0,0)+gmt_delta</f>
        <v>46359.416666666664</v>
      </c>
      <c r="S84" s="127" t="str">
        <f>IF(OR(BA10="",BA11=""),"",IF(BA10&gt;BA11,AZ10,IF(BA10&lt;BA11,AZ11,IF(OR(BB10="",BB11=""),"draw",IF(BB10&gt;BB11,AZ10,IF(BB10&lt;BB11,AZ11,IF(OR(BC10="",BC11=""),"draw",IF(BC10&gt;BC11,AZ10,IF(BC10&lt;BC11,AZ11,"draw")))))))))</f>
        <v/>
      </c>
      <c r="T84" s="127" t="str" cm="1">
        <f t="array" ref="T84">IF(OR(S84="",S84="draw"),INDEX(T,86,lang),S84)</f>
        <v>Austria</v>
      </c>
      <c r="AA84" s="125">
        <f t="shared" si="29"/>
        <v>6</v>
      </c>
      <c r="AB84" s="126" t="str">
        <f>J35</f>
        <v>Ivory Coast</v>
      </c>
      <c r="AC84" s="125">
        <f t="shared" si="30"/>
        <v>0</v>
      </c>
      <c r="AD84" s="125">
        <f t="shared" si="42"/>
        <v>0</v>
      </c>
      <c r="AE84" s="125">
        <f t="shared" si="31"/>
        <v>0</v>
      </c>
      <c r="AF84" s="125">
        <f t="shared" si="32"/>
        <v>0</v>
      </c>
      <c r="AG84" s="125">
        <f t="shared" si="33"/>
        <v>0</v>
      </c>
      <c r="AH84" s="125" t="s">
        <v>3180</v>
      </c>
      <c r="AI84" s="125">
        <f t="shared" si="34"/>
        <v>0</v>
      </c>
      <c r="AJ84" s="125">
        <f t="shared" si="35"/>
        <v>0</v>
      </c>
      <c r="AK84" s="125">
        <f t="shared" si="36"/>
        <v>0</v>
      </c>
      <c r="AL84" s="125">
        <f t="shared" si="37"/>
        <v>7.6648999999999999E-4</v>
      </c>
      <c r="AM84" s="125">
        <f t="shared" si="38"/>
        <v>1532.98</v>
      </c>
      <c r="AN84" s="126" t="str">
        <f t="shared" si="43"/>
        <v>ADE</v>
      </c>
      <c r="AO84" s="129" t="str">
        <f t="shared" si="39"/>
        <v>Ivory Coast</v>
      </c>
      <c r="AP84" s="127" t="str">
        <f>"Ⓔ "&amp;AB84</f>
        <v>Ⓔ Ivory Coast</v>
      </c>
    </row>
    <row r="85" spans="1:42" ht="15" customHeight="1" x14ac:dyDescent="0.25">
      <c r="A85" s="73"/>
      <c r="B85" s="73"/>
      <c r="C85" s="155"/>
      <c r="D85" s="156"/>
      <c r="E85" s="156"/>
      <c r="F85" s="156"/>
      <c r="G85" s="157"/>
      <c r="H85" s="75"/>
      <c r="I85" s="69"/>
      <c r="J85" s="99" t="str">
        <f>VLOOKUP(5,$AA$80:$AP$91,16,FALSE)</f>
        <v>Ⓛ Panama</v>
      </c>
      <c r="K85" s="100">
        <f t="shared" si="40"/>
        <v>0</v>
      </c>
      <c r="L85" s="100">
        <f>VLOOKUP(5,$AA$80:$AK$91,3,FALSE)</f>
        <v>0</v>
      </c>
      <c r="M85" s="100">
        <f>VLOOKUP(5,$AA$80:$AK$91,4,FALSE)</f>
        <v>0</v>
      </c>
      <c r="N85" s="100">
        <f>VLOOKUP(5,$AA$80:$AK$91,5,FALSE)</f>
        <v>0</v>
      </c>
      <c r="O85" s="100" t="str">
        <f>VLOOKUP(5,$AA$80:$AK$91,6,FALSE) &amp; " - " &amp; VLOOKUP(5,$AA$80:$AK$91,7,FALSE)</f>
        <v>0 - 0</v>
      </c>
      <c r="P85" s="101">
        <f t="shared" si="41"/>
        <v>0</v>
      </c>
      <c r="R85" s="125">
        <f>DATE(2026,12,3)+TIME(8,0,0)+gmt_delta</f>
        <v>46359.583333333336</v>
      </c>
      <c r="S85" s="127" t="str">
        <f>IF(OR(BA14="",BA15=""),"",IF(BA14&gt;BA15,AZ14,IF(BA14&lt;BA15,AZ15,IF(OR(BB14="",BB15=""),"draw",IF(BB14&gt;BB15,AZ14,IF(BB14&lt;BB15,AZ15,IF(OR(BC14="",BC15=""),"draw",IF(BC14&gt;BC15,AZ14,IF(BC14&lt;BC15,AZ15,"draw")))))))))</f>
        <v/>
      </c>
      <c r="T85" s="127" t="str" cm="1">
        <f t="array" ref="T85">IF(OR(S85="",S85="draw"),INDEX(T,87,lang),S85)</f>
        <v>Jordan</v>
      </c>
      <c r="AA85" s="125">
        <f t="shared" si="29"/>
        <v>7</v>
      </c>
      <c r="AB85" s="126" t="str">
        <f>J41</f>
        <v>Sweden</v>
      </c>
      <c r="AC85" s="125">
        <f t="shared" si="30"/>
        <v>0</v>
      </c>
      <c r="AD85" s="125">
        <f t="shared" si="42"/>
        <v>0</v>
      </c>
      <c r="AE85" s="125">
        <f t="shared" si="31"/>
        <v>0</v>
      </c>
      <c r="AF85" s="125">
        <f t="shared" si="32"/>
        <v>0</v>
      </c>
      <c r="AG85" s="125">
        <f t="shared" si="33"/>
        <v>0</v>
      </c>
      <c r="AH85" s="125" t="s">
        <v>3181</v>
      </c>
      <c r="AI85" s="125">
        <f t="shared" si="34"/>
        <v>0</v>
      </c>
      <c r="AJ85" s="125">
        <f t="shared" si="35"/>
        <v>0</v>
      </c>
      <c r="AK85" s="125">
        <f t="shared" si="36"/>
        <v>0</v>
      </c>
      <c r="AL85" s="125">
        <f t="shared" si="37"/>
        <v>7.5738499999999996E-4</v>
      </c>
      <c r="AM85" s="125">
        <f t="shared" si="38"/>
        <v>1514.77</v>
      </c>
      <c r="AN85" s="126" t="str">
        <f t="shared" si="43"/>
        <v>ADEF</v>
      </c>
      <c r="AO85" s="129" t="str">
        <f t="shared" si="39"/>
        <v>Sweden</v>
      </c>
      <c r="AP85" s="127" t="str">
        <f>"Ⓕ "&amp;AB85</f>
        <v>Ⓕ Sweden</v>
      </c>
    </row>
    <row r="86" spans="1:42" ht="15" customHeight="1" x14ac:dyDescent="0.25">
      <c r="A86" s="73"/>
      <c r="B86" s="73"/>
      <c r="C86" s="155"/>
      <c r="D86" s="156"/>
      <c r="E86" s="156"/>
      <c r="F86" s="156"/>
      <c r="G86" s="157"/>
      <c r="H86" s="75"/>
      <c r="I86" s="69"/>
      <c r="J86" s="99" t="str">
        <f>VLOOKUP(6,$AA$80:$AP$91,16,FALSE)</f>
        <v>Ⓔ Ivory Coast</v>
      </c>
      <c r="K86" s="100">
        <f t="shared" si="40"/>
        <v>0</v>
      </c>
      <c r="L86" s="100">
        <f>VLOOKUP(6,$AA$80:$AK$91,3,FALSE)</f>
        <v>0</v>
      </c>
      <c r="M86" s="100">
        <f>VLOOKUP(6,$AA$80:$AK$91,4,FALSE)</f>
        <v>0</v>
      </c>
      <c r="N86" s="100">
        <f>VLOOKUP(6,$AA$80:$AK$91,5,FALSE)</f>
        <v>0</v>
      </c>
      <c r="O86" s="100" t="str">
        <f>VLOOKUP(6,$AA$80:$AK$91,6,FALSE) &amp; " - " &amp; VLOOKUP(6,$AA$80:$AK$91,7,FALSE)</f>
        <v>0 - 0</v>
      </c>
      <c r="P86" s="101">
        <f t="shared" si="41"/>
        <v>0</v>
      </c>
      <c r="R86" s="125">
        <f>DATE(2026,12,4)+TIME(8,0,0)+gmt_delta</f>
        <v>46360.583333333336</v>
      </c>
      <c r="S86" s="127" t="str">
        <f>IF(OR(BA26="",BA27=""),"",IF(BA26&gt;BA27,AZ26,IF(BA26&lt;BA27,AZ27,IF(OR(BB26="",BB27=""),"draw",IF(BB26&gt;BB27,AZ26,IF(BB26&lt;BB27,AZ27,IF(OR(BC26="",BC27=""),"draw",IF(BC26&gt;BC27,AZ26,IF(BC26&lt;BC27,AZ27,"draw")))))))))</f>
        <v/>
      </c>
      <c r="T86" s="127" t="str" cm="1">
        <f t="array" ref="T86">IF(OR(S86="",S86="draw"),INDEX(T,88,lang),S86)</f>
        <v>DR Congo</v>
      </c>
      <c r="AA86" s="125">
        <f t="shared" si="29"/>
        <v>3</v>
      </c>
      <c r="AB86" s="126" t="str">
        <f>J47</f>
        <v>Egypt</v>
      </c>
      <c r="AC86" s="125">
        <f t="shared" si="30"/>
        <v>0</v>
      </c>
      <c r="AD86" s="125">
        <f t="shared" si="42"/>
        <v>0</v>
      </c>
      <c r="AE86" s="125">
        <f t="shared" si="31"/>
        <v>0</v>
      </c>
      <c r="AF86" s="125">
        <f t="shared" si="32"/>
        <v>0</v>
      </c>
      <c r="AG86" s="125">
        <f t="shared" si="33"/>
        <v>0</v>
      </c>
      <c r="AH86" s="125" t="s">
        <v>3182</v>
      </c>
      <c r="AI86" s="125">
        <f t="shared" si="34"/>
        <v>0</v>
      </c>
      <c r="AJ86" s="125">
        <f t="shared" si="35"/>
        <v>0</v>
      </c>
      <c r="AK86" s="125">
        <f t="shared" si="36"/>
        <v>0</v>
      </c>
      <c r="AL86" s="125">
        <f t="shared" si="37"/>
        <v>7.8162000000000001E-4</v>
      </c>
      <c r="AM86" s="125">
        <f t="shared" si="38"/>
        <v>1563.24</v>
      </c>
      <c r="AN86" s="126" t="str">
        <f t="shared" si="43"/>
        <v>ADEFG</v>
      </c>
      <c r="AO86" s="129" t="str">
        <f t="shared" si="39"/>
        <v>Egypt</v>
      </c>
      <c r="AP86" s="127" t="str">
        <f>"Ⓖ "&amp;AB86</f>
        <v>Ⓖ Egypt</v>
      </c>
    </row>
    <row r="87" spans="1:42" ht="15" customHeight="1" x14ac:dyDescent="0.25">
      <c r="A87" s="73"/>
      <c r="B87" s="73"/>
      <c r="C87" s="155"/>
      <c r="D87" s="156"/>
      <c r="E87" s="156"/>
      <c r="F87" s="156"/>
      <c r="G87" s="157"/>
      <c r="H87" s="75"/>
      <c r="I87" s="69"/>
      <c r="J87" s="99" t="str">
        <f>VLOOKUP(7,$AA$80:$AP$91,16,FALSE)</f>
        <v>Ⓕ Sweden</v>
      </c>
      <c r="K87" s="100">
        <f t="shared" si="40"/>
        <v>0</v>
      </c>
      <c r="L87" s="100">
        <f>VLOOKUP(7,$AA$80:$AK$91,3,FALSE)</f>
        <v>0</v>
      </c>
      <c r="M87" s="100">
        <f>VLOOKUP(7,$AA$80:$AK$91,4,FALSE)</f>
        <v>0</v>
      </c>
      <c r="N87" s="100">
        <f>VLOOKUP(7,$AA$80:$AK$91,5,FALSE)</f>
        <v>0</v>
      </c>
      <c r="O87" s="100" t="str">
        <f>VLOOKUP(7,$AA$80:$AK$91,6,FALSE) &amp; " - " &amp; VLOOKUP(7,$AA$80:$AK$91,7,FALSE)</f>
        <v>0 - 0</v>
      </c>
      <c r="P87" s="101">
        <f t="shared" si="41"/>
        <v>0</v>
      </c>
      <c r="R87" s="125">
        <f>DATE(2026,12,4)+TIME(4,0,0)+gmt_delta</f>
        <v>46360.416666666664</v>
      </c>
      <c r="S87" s="127" t="str">
        <f>IF(OR(BA30="",BA31=""),"",IF(BA30&gt;BA31,AZ30,IF(BA30&lt;BA31,AZ31,IF(OR(BB30="",BB31=""),"draw",IF(BB30&gt;BB31,AZ30,IF(BB30&lt;BB31,AZ31,IF(OR(BC30="",BC31=""),"draw",IF(BC30&gt;BC31,AZ30,IF(BC30&lt;BC31,AZ31,"draw")))))))))</f>
        <v/>
      </c>
      <c r="T87" s="127" t="str" cm="1">
        <f t="array" ref="T87">IF(OR(S87="",S87="draw"),INDEX(T,89,lang),S87)</f>
        <v>Uzbekistan</v>
      </c>
      <c r="AA87" s="125">
        <f t="shared" si="29"/>
        <v>12</v>
      </c>
      <c r="AB87" s="126" t="str">
        <f>J53</f>
        <v>Saudi Arabia</v>
      </c>
      <c r="AC87" s="125">
        <f t="shared" si="30"/>
        <v>0</v>
      </c>
      <c r="AD87" s="125">
        <f t="shared" si="42"/>
        <v>0</v>
      </c>
      <c r="AE87" s="125">
        <f t="shared" si="31"/>
        <v>0</v>
      </c>
      <c r="AF87" s="125">
        <f t="shared" si="32"/>
        <v>0</v>
      </c>
      <c r="AG87" s="125">
        <f t="shared" si="33"/>
        <v>0</v>
      </c>
      <c r="AH87" s="125" t="s">
        <v>3183</v>
      </c>
      <c r="AI87" s="125">
        <f t="shared" si="34"/>
        <v>0</v>
      </c>
      <c r="AJ87" s="125">
        <f t="shared" si="35"/>
        <v>0</v>
      </c>
      <c r="AK87" s="125">
        <f t="shared" si="36"/>
        <v>0</v>
      </c>
      <c r="AL87" s="125">
        <f t="shared" si="37"/>
        <v>7.10715E-4</v>
      </c>
      <c r="AM87" s="125">
        <f t="shared" si="38"/>
        <v>1421.43</v>
      </c>
      <c r="AN87" s="126" t="str">
        <f t="shared" si="43"/>
        <v>ADEFG</v>
      </c>
      <c r="AO87" s="129" t="str">
        <f t="shared" si="39"/>
        <v/>
      </c>
      <c r="AP87" s="127" t="str">
        <f>"Ⓗ "&amp;AB87</f>
        <v>Ⓗ Saudi Arabia</v>
      </c>
    </row>
    <row r="88" spans="1:42" ht="15" customHeight="1" x14ac:dyDescent="0.25">
      <c r="A88" s="73"/>
      <c r="B88" s="73"/>
      <c r="C88" s="158"/>
      <c r="D88" s="159"/>
      <c r="E88" s="159"/>
      <c r="F88" s="159"/>
      <c r="G88" s="160"/>
      <c r="H88" s="75"/>
      <c r="I88" s="69"/>
      <c r="J88" s="99" t="str">
        <f>VLOOKUP(8,$AA$80:$AP$91,16,FALSE)</f>
        <v>Ⓐ Czech Republic</v>
      </c>
      <c r="K88" s="100">
        <f t="shared" si="40"/>
        <v>0</v>
      </c>
      <c r="L88" s="100">
        <f>VLOOKUP(8,$AA$80:$AK$91,3,FALSE)</f>
        <v>0</v>
      </c>
      <c r="M88" s="100">
        <f>VLOOKUP(8,$AA$80:$AK$91,4,FALSE)</f>
        <v>0</v>
      </c>
      <c r="N88" s="100">
        <f>VLOOKUP(8,$AA$80:$AK$91,5,FALSE)</f>
        <v>0</v>
      </c>
      <c r="O88" s="100" t="str">
        <f>VLOOKUP(8,$AA$80:$AK$91,6,FALSE) &amp; " - " &amp; VLOOKUP(8,$AA$80:$AK$91,7,FALSE)</f>
        <v>0 - 0</v>
      </c>
      <c r="P88" s="101">
        <f t="shared" si="41"/>
        <v>0</v>
      </c>
      <c r="R88" s="125">
        <f>DATE(2026,12,5)+TIME(4,0,0)+gmt_delta</f>
        <v>46361.416666666664</v>
      </c>
      <c r="S88" s="127" t="str">
        <f>IF(OR(BA18="",BA19=""),"",IF(BA18&gt;BA19,AZ18,IF(BA18&lt;BA19,AZ19,IF(OR(BB18="",BB19=""),"draw",IF(BB18&gt;BB19,AZ18,IF(BB18&lt;BB19,AZ19,IF(OR(BC18="",BC19=""),"draw",IF(BC18&gt;BC19,AZ18,IF(BC18&lt;BC19,AZ19,"draw")))))))))</f>
        <v/>
      </c>
      <c r="T88" s="127" t="str" cm="1">
        <f t="array" ref="T88">IF(OR(S88="",S88="draw"),INDEX(T,90,lang),S88)</f>
        <v>Colombia</v>
      </c>
      <c r="AA88" s="125">
        <f t="shared" si="29"/>
        <v>4</v>
      </c>
      <c r="AB88" s="126" t="str">
        <f>J59</f>
        <v>Norway</v>
      </c>
      <c r="AC88" s="125">
        <f t="shared" si="30"/>
        <v>0</v>
      </c>
      <c r="AD88" s="125">
        <f t="shared" si="42"/>
        <v>0</v>
      </c>
      <c r="AE88" s="125">
        <f t="shared" si="31"/>
        <v>0</v>
      </c>
      <c r="AF88" s="125">
        <f t="shared" si="32"/>
        <v>0</v>
      </c>
      <c r="AG88" s="125">
        <f t="shared" si="33"/>
        <v>0</v>
      </c>
      <c r="AH88" s="125" t="s">
        <v>3184</v>
      </c>
      <c r="AI88" s="125">
        <f t="shared" si="34"/>
        <v>0</v>
      </c>
      <c r="AJ88" s="125">
        <f t="shared" si="35"/>
        <v>0</v>
      </c>
      <c r="AK88" s="125">
        <f t="shared" si="36"/>
        <v>0</v>
      </c>
      <c r="AL88" s="125">
        <f t="shared" si="37"/>
        <v>7.7547E-4</v>
      </c>
      <c r="AM88" s="125">
        <f t="shared" si="38"/>
        <v>1550.94</v>
      </c>
      <c r="AN88" s="126" t="str">
        <f t="shared" si="43"/>
        <v>ADEFGI</v>
      </c>
      <c r="AO88" s="129" t="str">
        <f t="shared" si="39"/>
        <v>Norway</v>
      </c>
      <c r="AP88" s="127" t="str">
        <f>"Ⓘ "&amp;AB88</f>
        <v>Ⓘ Norway</v>
      </c>
    </row>
    <row r="89" spans="1:42" ht="15" customHeight="1" x14ac:dyDescent="0.25">
      <c r="A89" s="73"/>
      <c r="B89" s="73"/>
      <c r="C89" s="73"/>
      <c r="D89" s="73"/>
      <c r="E89" s="74"/>
      <c r="F89" s="71"/>
      <c r="G89" s="71"/>
      <c r="H89" s="75"/>
      <c r="I89" s="69"/>
      <c r="J89" s="102" t="str">
        <f>VLOOKUP(9,$AA$80:$AP$91,16,FALSE)</f>
        <v>Ⓒ Scotland</v>
      </c>
      <c r="K89" s="103">
        <f t="shared" si="40"/>
        <v>0</v>
      </c>
      <c r="L89" s="103">
        <f>VLOOKUP(9,$AA$80:$AK$91,3,FALSE)</f>
        <v>0</v>
      </c>
      <c r="M89" s="103">
        <f>VLOOKUP(9,$AA$80:$AK$91,4,FALSE)</f>
        <v>0</v>
      </c>
      <c r="N89" s="103">
        <f>VLOOKUP(9,$AA$80:$AK$91,5,FALSE)</f>
        <v>0</v>
      </c>
      <c r="O89" s="103" t="str">
        <f>VLOOKUP(9,$AA$80:$AK$91,6,FALSE) &amp; " - " &amp; VLOOKUP(9,$AA$80:$AK$91,7,FALSE)</f>
        <v>0 - 0</v>
      </c>
      <c r="P89" s="104">
        <f t="shared" si="41"/>
        <v>0</v>
      </c>
      <c r="R89" s="125">
        <f>DATE(2026,12,5)+TIME(8,0,0)+gmt_delta</f>
        <v>46361.583333333336</v>
      </c>
      <c r="S89" s="127" t="str">
        <f>IF(OR(BA22="",BA23=""),"",IF(BA22&gt;BA23,AZ22,IF(BA22&lt;BA23,AZ23,IF(OR(BB22="",BB23=""),"draw",IF(BB22&gt;BB23,AZ22,IF(BB22&lt;BB23,AZ23,IF(OR(BC22="",BC23=""),"draw",IF(BC22&gt;BC23,AZ22,IF(BC22&lt;BC23,AZ23,"draw")))))))))</f>
        <v/>
      </c>
      <c r="T89" s="127" t="str" cm="1">
        <f t="array" ref="T89">IF(OR(S89="",S89="draw"),INDEX(T,91,lang),S89)</f>
        <v>Panama</v>
      </c>
      <c r="AA89" s="125">
        <f t="shared" si="29"/>
        <v>2</v>
      </c>
      <c r="AB89" s="126" t="str">
        <f>J65</f>
        <v>Algeria</v>
      </c>
      <c r="AC89" s="125">
        <f t="shared" si="30"/>
        <v>0</v>
      </c>
      <c r="AD89" s="125">
        <f t="shared" si="42"/>
        <v>0</v>
      </c>
      <c r="AE89" s="125">
        <f t="shared" si="31"/>
        <v>0</v>
      </c>
      <c r="AF89" s="125">
        <f t="shared" si="32"/>
        <v>0</v>
      </c>
      <c r="AG89" s="125">
        <f t="shared" si="33"/>
        <v>0</v>
      </c>
      <c r="AH89" s="125" t="s">
        <v>3185</v>
      </c>
      <c r="AI89" s="125">
        <f t="shared" si="34"/>
        <v>0</v>
      </c>
      <c r="AJ89" s="125">
        <f t="shared" si="35"/>
        <v>0</v>
      </c>
      <c r="AK89" s="125">
        <f t="shared" si="36"/>
        <v>0</v>
      </c>
      <c r="AL89" s="125">
        <f t="shared" si="37"/>
        <v>7.8213000000000002E-4</v>
      </c>
      <c r="AM89" s="125">
        <f t="shared" si="38"/>
        <v>1564.26</v>
      </c>
      <c r="AN89" s="126" t="str">
        <f t="shared" si="43"/>
        <v>ADEFGIJ</v>
      </c>
      <c r="AO89" s="129" t="str">
        <f t="shared" si="39"/>
        <v>Algeria</v>
      </c>
      <c r="AP89" s="127" t="str">
        <f>"Ⓙ "&amp;AB89</f>
        <v>Ⓙ Algeria</v>
      </c>
    </row>
    <row r="90" spans="1:42" ht="15" customHeight="1" x14ac:dyDescent="0.25">
      <c r="A90" s="73"/>
      <c r="B90" s="73"/>
      <c r="C90" s="73"/>
      <c r="D90" s="73"/>
      <c r="E90" s="74"/>
      <c r="F90" s="71"/>
      <c r="G90" s="71"/>
      <c r="H90" s="75"/>
      <c r="I90" s="69"/>
      <c r="J90" s="102" t="str">
        <f>VLOOKUP(10,$AA$80:$AP$91,16,FALSE)</f>
        <v>Ⓚ DR Congo</v>
      </c>
      <c r="K90" s="103">
        <f t="shared" si="40"/>
        <v>0</v>
      </c>
      <c r="L90" s="103">
        <f>VLOOKUP(10,$AA$80:$AK$91,3,FALSE)</f>
        <v>0</v>
      </c>
      <c r="M90" s="103">
        <f>VLOOKUP(10,$AA$80:$AK$91,4,FALSE)</f>
        <v>0</v>
      </c>
      <c r="N90" s="103">
        <f>VLOOKUP(10,$AA$80:$AK$91,5,FALSE)</f>
        <v>0</v>
      </c>
      <c r="O90" s="103" t="str">
        <f>VLOOKUP(10,$AA$80:$AK$91,6,FALSE) &amp; " - " &amp; VLOOKUP(10,$AA$80:$AK$91,7,FALSE)</f>
        <v>0 - 0</v>
      </c>
      <c r="P90" s="104">
        <f t="shared" si="41"/>
        <v>0</v>
      </c>
      <c r="R90" s="125">
        <f>DATE(2026,12,6)+TIME(4,0,0)+gmt_delta</f>
        <v>46362.416666666664</v>
      </c>
      <c r="S90" s="127" t="str">
        <f>IF(OR(BA34="",BA35=""),"",IF(BA34&gt;BA35,AZ34,IF(BA34&lt;BA35,AZ35,IF(OR(BB34="",BB35=""),"draw",IF(BB34&gt;BB35,AZ34,IF(BB34&lt;BB35,AZ35,IF(OR(BC34="",BC35=""),"draw",IF(BC34&gt;BC35,AZ34,IF(BC34&lt;BC35,AZ35,"draw")))))))))</f>
        <v/>
      </c>
      <c r="T90" s="127" cm="1">
        <f t="array" ref="T90">IF(OR(S90="",S90="draw"),INDEX(T,92,lang),S90)</f>
        <v>0</v>
      </c>
      <c r="AA90" s="125">
        <f t="shared" si="29"/>
        <v>10</v>
      </c>
      <c r="AB90" s="126" t="str">
        <f>J71</f>
        <v>DR Congo</v>
      </c>
      <c r="AC90" s="125">
        <f t="shared" si="30"/>
        <v>0</v>
      </c>
      <c r="AD90" s="125">
        <f t="shared" si="42"/>
        <v>0</v>
      </c>
      <c r="AE90" s="125">
        <f t="shared" si="31"/>
        <v>0</v>
      </c>
      <c r="AF90" s="125">
        <f t="shared" si="32"/>
        <v>0</v>
      </c>
      <c r="AG90" s="125">
        <f t="shared" si="33"/>
        <v>0</v>
      </c>
      <c r="AH90" s="125" t="s">
        <v>3186</v>
      </c>
      <c r="AI90" s="125">
        <f t="shared" si="34"/>
        <v>0</v>
      </c>
      <c r="AJ90" s="125">
        <f t="shared" si="35"/>
        <v>0</v>
      </c>
      <c r="AK90" s="125">
        <f t="shared" si="36"/>
        <v>0</v>
      </c>
      <c r="AL90" s="125">
        <f t="shared" si="37"/>
        <v>7.391749999999999E-4</v>
      </c>
      <c r="AM90" s="125">
        <f t="shared" si="38"/>
        <v>1478.35</v>
      </c>
      <c r="AN90" s="126" t="str">
        <f t="shared" si="43"/>
        <v>ADEFGIJ</v>
      </c>
      <c r="AO90" s="129" t="str">
        <f t="shared" si="39"/>
        <v/>
      </c>
      <c r="AP90" s="127" t="str">
        <f>"Ⓚ "&amp;AB90</f>
        <v>Ⓚ DR Congo</v>
      </c>
    </row>
    <row r="91" spans="1:42" ht="15" customHeight="1" x14ac:dyDescent="0.25">
      <c r="A91" s="73"/>
      <c r="B91" s="73"/>
      <c r="C91" s="73"/>
      <c r="D91" s="73"/>
      <c r="E91" s="74"/>
      <c r="F91" s="71"/>
      <c r="G91" s="71"/>
      <c r="H91" s="75"/>
      <c r="I91" s="69"/>
      <c r="J91" s="102" t="str">
        <f>VLOOKUP(11,$AA$80:$AP$91,16,FALSE)</f>
        <v>Ⓑ Qatar</v>
      </c>
      <c r="K91" s="103">
        <f t="shared" si="40"/>
        <v>0</v>
      </c>
      <c r="L91" s="103">
        <f>VLOOKUP(11,$AA$80:$AK$91,3,FALSE)</f>
        <v>0</v>
      </c>
      <c r="M91" s="103">
        <f>VLOOKUP(11,$AA$80:$AK$91,4,FALSE)</f>
        <v>0</v>
      </c>
      <c r="N91" s="103">
        <f>VLOOKUP(11,$AA$80:$AK$91,5,FALSE)</f>
        <v>0</v>
      </c>
      <c r="O91" s="103" t="str">
        <f>VLOOKUP(11,$AA$80:$AK$91,6,FALSE) &amp; " - " &amp; VLOOKUP(11,$AA$80:$AK$91,7,FALSE)</f>
        <v>0 - 0</v>
      </c>
      <c r="P91" s="104">
        <f t="shared" si="41"/>
        <v>0</v>
      </c>
      <c r="R91" s="125">
        <f>DATE(2026,12,6)+TIME(8,0,0)+gmt_delta</f>
        <v>46362.583333333336</v>
      </c>
      <c r="S91" s="127" t="str">
        <f>IF(OR(BA38="",BA39=""),"",IF(BA38&gt;BA39,AZ38,IF(BA38&lt;BA39,AZ39,IF(OR(BB38="",BB39=""),"draw",IF(BB38&gt;BB39,AZ38,IF(BB38&lt;BB39,AZ39,IF(OR(BC38="",BC39=""),"draw",IF(BC38&gt;BC39,AZ38,IF(BC38&lt;BC39,AZ39,"draw")))))))))</f>
        <v/>
      </c>
      <c r="T91" s="127" cm="1">
        <f t="array" ref="T91">IF(OR(S91="",S91="draw"),INDEX(T,93,lang),S91)</f>
        <v>0</v>
      </c>
      <c r="AA91" s="125">
        <f t="shared" si="29"/>
        <v>5</v>
      </c>
      <c r="AB91" s="126" t="str">
        <f>J77</f>
        <v>Panama</v>
      </c>
      <c r="AC91" s="125">
        <f t="shared" si="30"/>
        <v>0</v>
      </c>
      <c r="AD91" s="125">
        <f t="shared" si="42"/>
        <v>0</v>
      </c>
      <c r="AE91" s="125">
        <f>VLOOKUP($AB91,$AB$8:$AM$78,4,FALSE)</f>
        <v>0</v>
      </c>
      <c r="AF91" s="125">
        <f>VLOOKUP($AB91,$AB$8:$AM$78,5,FALSE)</f>
        <v>0</v>
      </c>
      <c r="AG91" s="125">
        <f>VLOOKUP($AB91,$AB$8:$AM$78,6,FALSE)</f>
        <v>0</v>
      </c>
      <c r="AH91" s="125" t="s">
        <v>3187</v>
      </c>
      <c r="AI91" s="125">
        <f>VLOOKUP($AB91,$AB$8:$AM$78,8,FALSE)</f>
        <v>0</v>
      </c>
      <c r="AJ91" s="125">
        <f t="shared" si="35"/>
        <v>0</v>
      </c>
      <c r="AK91" s="125">
        <f>VLOOKUP($AB91,$AB$8:$AM$78,10,FALSE)</f>
        <v>0</v>
      </c>
      <c r="AL91" s="125">
        <f t="shared" si="37"/>
        <v>7.7032000000000001E-4</v>
      </c>
      <c r="AM91" s="125">
        <f>VLOOKUP($AB91,$AB$8:$AM$78,12,FALSE)</f>
        <v>1540.64</v>
      </c>
      <c r="AN91" s="126" t="str">
        <f t="shared" si="43"/>
        <v>ADEFGIJL</v>
      </c>
      <c r="AO91" s="129" t="str">
        <f t="shared" si="39"/>
        <v>Panama</v>
      </c>
      <c r="AP91" s="127" t="str">
        <f>"Ⓛ "&amp;AB91</f>
        <v>Ⓛ Panama</v>
      </c>
    </row>
    <row r="92" spans="1:42" ht="15" customHeight="1" x14ac:dyDescent="0.25">
      <c r="A92" s="73"/>
      <c r="B92" s="73"/>
      <c r="C92" s="73"/>
      <c r="D92" s="73"/>
      <c r="E92" s="74"/>
      <c r="F92" s="71"/>
      <c r="G92" s="71"/>
      <c r="H92" s="75"/>
      <c r="I92" s="69"/>
      <c r="J92" s="105" t="str">
        <f>VLOOKUP(12,$AA$80:$AP$91,16,FALSE)</f>
        <v>Ⓗ Saudi Arabia</v>
      </c>
      <c r="K92" s="106">
        <f t="shared" si="40"/>
        <v>0</v>
      </c>
      <c r="L92" s="106">
        <f>VLOOKUP(12,$AA$80:$AK$91,3,FALSE)</f>
        <v>0</v>
      </c>
      <c r="M92" s="106">
        <f>VLOOKUP(12,$AA$80:$AK$91,4,FALSE)</f>
        <v>0</v>
      </c>
      <c r="N92" s="106">
        <f>VLOOKUP(12,$AA$80:$AK$91,5,FALSE)</f>
        <v>0</v>
      </c>
      <c r="O92" s="106" t="str">
        <f>VLOOKUP(12,$AA$80:$AK$91,6,FALSE) &amp; " - " &amp; VLOOKUP(12,$AA$80:$AK$91,7,FALSE)</f>
        <v>0 - 0</v>
      </c>
      <c r="P92" s="107">
        <f t="shared" si="41"/>
        <v>0</v>
      </c>
      <c r="AC92" s="125">
        <f>MAX(AC80:AC91)+1</f>
        <v>1</v>
      </c>
      <c r="AD92" s="125">
        <f>MAX(AD80:AD91)+1</f>
        <v>1</v>
      </c>
      <c r="AE92" s="125">
        <f>MAX(AE80:AE91)+1</f>
        <v>1</v>
      </c>
      <c r="AF92" s="125">
        <f>MAX(AF80:AF91)+1</f>
        <v>1</v>
      </c>
      <c r="AG92" s="125">
        <f>MAX(AG80:AG91)+1</f>
        <v>1</v>
      </c>
      <c r="AI92" s="125">
        <f>MIN(AI80:AI91)</f>
        <v>0</v>
      </c>
      <c r="AJ92" s="125">
        <f>MAX(AJ80:AJ91)+1</f>
        <v>1</v>
      </c>
      <c r="AK92" s="125">
        <f>MAX(AK80:AK91)+1</f>
        <v>1</v>
      </c>
      <c r="AO92" s="125" t="b">
        <f>SUM(K9:K78)=144</f>
        <v>0</v>
      </c>
    </row>
    <row r="93" spans="1:42" x14ac:dyDescent="0.25">
      <c r="A93" s="73"/>
      <c r="B93" s="73"/>
      <c r="C93" s="73"/>
      <c r="D93" s="73"/>
      <c r="E93" s="74"/>
      <c r="F93" s="71"/>
      <c r="G93" s="71"/>
      <c r="H93" s="75"/>
      <c r="I93" s="69"/>
      <c r="J93" s="72"/>
      <c r="K93" s="70"/>
      <c r="L93" s="70"/>
      <c r="M93" s="70"/>
      <c r="N93" s="70"/>
      <c r="O93" s="70"/>
      <c r="P93" s="70"/>
    </row>
    <row r="95" spans="1:42" x14ac:dyDescent="0.25">
      <c r="R95" s="125">
        <f>DATE(2026,12,9)+TIME(8,0,0)+gmt_delta</f>
        <v>46365.583333333336</v>
      </c>
      <c r="S95" s="127" t="str">
        <f>IF(OR(BH12="",BH13=""),"",IF(BH12&gt;BH13,BG12,IF(BH12&lt;BH13,BG13,IF(OR(BI12="",BI13=""),"draw",IF(BI12&gt;BI13,BG12,IF(BI12&lt;BI13,BG13,IF(OR(BJ12="",BJ13=""),"draw",IF(BJ12&gt;BJ13,BG12,IF(BJ12&lt;BJ13,BG13,"draw")))))))))</f>
        <v/>
      </c>
      <c r="T95" s="127" cm="1">
        <f t="array" ref="T95">IF(OR(S95="",S95="draw"),INDEX(T,94,lang),S95)</f>
        <v>0</v>
      </c>
    </row>
    <row r="96" spans="1:42" ht="12.75" customHeight="1" x14ac:dyDescent="0.25">
      <c r="R96" s="125">
        <f>DATE(2026,12,9)+TIME(4,0,0)+gmt_delta</f>
        <v>46365.416666666664</v>
      </c>
      <c r="S96" s="127" t="str">
        <f>IF(OR(BH20="",BH21=""),"",IF(BH20&gt;BH21,BG20,IF(BH20&lt;BH21,BG21,IF(OR(BI20="",BI21=""),"draw",IF(BI20&gt;BI21,BG20,IF(BI20&lt;BI21,BG21,IF(OR(BJ20="",BJ21=""),"draw",IF(BJ20&gt;BJ21,BG20,IF(BJ20&lt;BJ21,BG21,"draw")))))))))</f>
        <v/>
      </c>
      <c r="T96" s="127" cm="1">
        <f t="array" ref="T96">IF(OR(S96="",S96="draw"),INDEX(T,95,lang),S96)</f>
        <v>0</v>
      </c>
    </row>
    <row r="97" spans="18:26" ht="12.75" customHeight="1" x14ac:dyDescent="0.25">
      <c r="R97" s="125">
        <f>DATE(2026,12,10)+TIME(8,0,0)+gmt_delta</f>
        <v>46366.583333333336</v>
      </c>
      <c r="S97" s="127" t="str">
        <f>IF(OR(BH28="",BH29=""),"",IF(BH28&gt;BH29,BG28,IF(BH28&lt;BH29,BG29,IF(OR(BI28="",BI29=""),"draw",IF(BI28&gt;BI29,BG28,IF(BI28&lt;BI29,BG29,IF(OR(BJ28="",BJ29=""),"draw",IF(BJ28&gt;BJ29,BG28,IF(BJ28&lt;BJ29,BG29,"draw")))))))))</f>
        <v/>
      </c>
      <c r="T97" s="127" cm="1">
        <f t="array" ref="T97">IF(OR(S97="",S97="draw"),INDEX(T,96,lang),S97)</f>
        <v>0</v>
      </c>
    </row>
    <row r="98" spans="18:26" x14ac:dyDescent="0.25">
      <c r="R98" s="125">
        <f>DATE(2026,12,10)+TIME(4,0,0)+gmt_delta</f>
        <v>46366.416666666664</v>
      </c>
      <c r="S98" s="127" t="str">
        <f>IF(OR(BH36="",BH37=""),"",IF(BH36&gt;BH37,BG36,IF(BH36&lt;BH37,BG37,IF(OR(BI36="",BI37=""),"draw",IF(BI36&gt;BI37,BG36,IF(BI36&lt;BI37,BG37,IF(OR(BJ36="",BJ37=""),"draw",IF(BJ36&gt;BJ37,BG36,IF(BJ36&lt;BJ37,BG37,"draw")))))))))</f>
        <v/>
      </c>
      <c r="T98" s="127" cm="1">
        <f t="array" ref="T98">IF(OR(S98="",S98="draw"),INDEX(T,97,lang),S98)</f>
        <v>0</v>
      </c>
    </row>
    <row r="102" spans="18:26" x14ac:dyDescent="0.25">
      <c r="R102" s="125">
        <f>DATE(2026,12,13)+TIME(8,0,0)+gmt_delta</f>
        <v>46369.583333333336</v>
      </c>
      <c r="S102" s="127" t="str">
        <f>IF(OR(BO16="",BO17=""),"",IF(BO16&gt;BO17,BN16,IF(BO16&lt;BO17,BN17,IF(OR(BP16="",BP17=""),"draw",IF(BP16&gt;BP17,BN16,IF(BP16&lt;BP17,BN17,IF(OR(BQ16="",BQ17=""),"draw",IF(BQ16&gt;BQ17,BN16,IF(BQ16&lt;BQ17,BN17,"draw")))))))))</f>
        <v/>
      </c>
      <c r="T102" s="127" cm="1">
        <f t="array" ref="T102">IF(OR(S102="",S102="draw"),INDEX(T,98,lang),S102)</f>
        <v>0</v>
      </c>
      <c r="U102" s="127" t="str">
        <f>IF(OR(BO16="",BO17=""),"",IF(BO16&lt;BO17,BN16,IF(BO16&gt;BO17,BN17,IF(OR(BP16="",BP17=""),"draw",IF(BP16&lt;BP17,BN16,IF(BP16&gt;BP17,BN17,IF(OR(BQ16="",BQ17=""),"draw",IF(BQ16&lt;BQ17,BN16,IF(BQ16&gt;BQ17,BN17,"draw")))))))))</f>
        <v/>
      </c>
      <c r="Z102" s="127" cm="1">
        <f t="array" ref="Z102">IF(OR(U102="",U102="draw"),INDEX(T,100,lang),U102)</f>
        <v>0</v>
      </c>
    </row>
    <row r="103" spans="18:26" x14ac:dyDescent="0.25">
      <c r="R103" s="125">
        <f>DATE(2026,12,14)+TIME(8,0,0)+gmt_delta</f>
        <v>46370.583333333336</v>
      </c>
      <c r="S103" s="127" t="str">
        <f>IF(OR(BO32="",BO33=""),"",IF(BO32&gt;BO33,BN32,IF(BO32&lt;BO33,BN33,IF(OR(BP32="",BP33=""),"draw",IF(BP32&gt;BP33,BN32,IF(BP32&lt;BP33,BN33,IF(OR(BQ32="",BQ33=""),"draw",IF(BQ32&gt;BQ33,BN32,IF(BQ32&lt;BQ33,BN33,"draw")))))))))</f>
        <v/>
      </c>
      <c r="T103" s="127" cm="1">
        <f t="array" ref="T103">IF(OR(S103="",S103="draw"),INDEX(T,99,lang),S103)</f>
        <v>0</v>
      </c>
      <c r="U103" s="127" t="str">
        <f>IF(OR(BO32="",BO33=""),"",IF(BO32&lt;BO33,BN32,IF(BO32&gt;BO33,BN33,IF(OR(BP32="",BP33=""),"draw",IF(BP32&lt;BP33,BN32,IF(BP32&gt;BP33,BN33,IF(OR(BQ32="",BQ33=""),"draw",IF(BQ32&lt;BQ33,BN32,IF(BQ32&gt;BQ33,BN33,"draw")))))))))</f>
        <v/>
      </c>
      <c r="Z103" s="127" cm="1">
        <f t="array" ref="Z103">IF(OR(U103="",U103="draw"),INDEX(T,101,lang),U103)</f>
        <v>0</v>
      </c>
    </row>
    <row r="107" spans="18:26" x14ac:dyDescent="0.25">
      <c r="R107" s="125">
        <f>DATE(2026,12,17)+TIME(8,0,0)+gmt_delta</f>
        <v>46373.583333333336</v>
      </c>
      <c r="T107" s="127" t="e">
        <f>IF(OR(#REF!="",#REF!=""),"",IF(#REF!&gt;#REF!,#REF!,IF(#REF!&lt;#REF!,#REF!,IF(OR(#REF!="",#REF!=""),"",IF(#REF!&gt;#REF!,#REF!,IF(#REF!&lt;#REF!,#REF!,IF(OR(#REF!="",#REF!=""),"",IF(#REF!&gt;#REF!,#REF!,IF(#REF!&lt;#REF!,#REF!,"")))))))))</f>
        <v>#REF!</v>
      </c>
    </row>
    <row r="111" spans="18:26" x14ac:dyDescent="0.25">
      <c r="R111" s="125">
        <f>DATE(2026,12,18)+TIME(8,0,0)+gmt_delta</f>
        <v>46374.583333333336</v>
      </c>
      <c r="S111" s="127" t="str">
        <f>IF(OR(BV23="",BV24=""),"",IF(BV23&gt;BV24,BU23,IF(BV23&lt;BV24,BU24,IF(OR(BW23="",BW24=""),"",IF(BW23&gt;BW24,BU23,IF(BW23&lt;BW24,BU24,IF(OR(BX23="",BX24=""),"",IF(BX23&gt;BX24,BU23,IF(BX23&lt;BX24,BU24,"")))))))))</f>
        <v/>
      </c>
      <c r="T111" s="127" t="str">
        <f>S111</f>
        <v/>
      </c>
    </row>
  </sheetData>
  <sheetProtection algorithmName="SHA-512" hashValue="0zbuyH1h2tyWAhXKH3AJW9atYdgY2TbNkUgtw3jLbXg+djGm0C408yRoVzUaU7xwS+dYoys1H+AI4mbFbbnRNw==" saltValue="XwYKwETRuM6E6J4DYRhq/g==" spinCount="100000" sheet="1" objects="1" scenarios="1"/>
  <mergeCells count="43">
    <mergeCell ref="C83:G88"/>
    <mergeCell ref="AY70:AY71"/>
    <mergeCell ref="BM48:BM49"/>
    <mergeCell ref="BM64:BM65"/>
    <mergeCell ref="BT55:BT56"/>
    <mergeCell ref="AY58:AY59"/>
    <mergeCell ref="BF60:BF61"/>
    <mergeCell ref="AY62:AY63"/>
    <mergeCell ref="AY66:AY67"/>
    <mergeCell ref="BF68:BF69"/>
    <mergeCell ref="AY50:AY51"/>
    <mergeCell ref="BF52:BF53"/>
    <mergeCell ref="AY54:AY55"/>
    <mergeCell ref="BT6:BX7"/>
    <mergeCell ref="A1:P1"/>
    <mergeCell ref="O3:P3"/>
    <mergeCell ref="A5:H6"/>
    <mergeCell ref="J5:P6"/>
    <mergeCell ref="AY10:AY11"/>
    <mergeCell ref="BF12:BF13"/>
    <mergeCell ref="AY6:BC7"/>
    <mergeCell ref="BF6:BJ7"/>
    <mergeCell ref="BM6:BQ7"/>
    <mergeCell ref="BT23:BT24"/>
    <mergeCell ref="AY18:AY19"/>
    <mergeCell ref="BF20:BF21"/>
    <mergeCell ref="CA48:CA49"/>
    <mergeCell ref="BF44:BF45"/>
    <mergeCell ref="AY46:AY47"/>
    <mergeCell ref="AY30:AY31"/>
    <mergeCell ref="CA44:CE45"/>
    <mergeCell ref="BM32:BM33"/>
    <mergeCell ref="AY38:AY39"/>
    <mergeCell ref="AY34:AY35"/>
    <mergeCell ref="BF36:BF37"/>
    <mergeCell ref="AY42:AY43"/>
    <mergeCell ref="CA33:CE34"/>
    <mergeCell ref="CA37:CA38"/>
    <mergeCell ref="AY14:AY15"/>
    <mergeCell ref="BM16:BM17"/>
    <mergeCell ref="AY26:AY27"/>
    <mergeCell ref="BF28:BF29"/>
    <mergeCell ref="AY22:AY23"/>
  </mergeCells>
  <conditionalFormatting sqref="A7:E78">
    <cfRule type="expression" dxfId="36" priority="117">
      <formula>IF($X7=1,1,0)</formula>
    </cfRule>
  </conditionalFormatting>
  <conditionalFormatting sqref="E7:E78">
    <cfRule type="expression" dxfId="35" priority="129">
      <formula>IF(AND(X7=1,Y7=0),1,0)</formula>
    </cfRule>
    <cfRule type="expression" dxfId="34" priority="128">
      <formula>IF(AND(X7=0,Y7=0),1,0)</formula>
    </cfRule>
    <cfRule type="expression" dxfId="33" priority="127">
      <formula>IF(AND(X7=1,Y7=1),1,0)</formula>
    </cfRule>
    <cfRule type="expression" dxfId="32" priority="126">
      <formula>IF(AND(X7=0,Y7=1),1,0)</formula>
    </cfRule>
    <cfRule type="expression" dxfId="31" priority="125">
      <formula>IF(AND(X7=1,Y7=-1),1,0)</formula>
    </cfRule>
    <cfRule type="expression" dxfId="30" priority="124">
      <formula>IF(AND(X7=0,Y7=-1),1,0)</formula>
    </cfRule>
  </conditionalFormatting>
  <conditionalFormatting sqref="F7:F78">
    <cfRule type="expression" dxfId="29" priority="132" stopIfTrue="1">
      <formula>IF(AND($F7&gt;$G7,ISNUMBER($F7),ISNUMBER($G7)),1,0)</formula>
    </cfRule>
  </conditionalFormatting>
  <conditionalFormatting sqref="G7:G78">
    <cfRule type="expression" dxfId="28" priority="133" stopIfTrue="1">
      <formula>IF(AND($F7&lt;$G7,ISNUMBER($F7),ISNUMBER($G7)),1,0)</formula>
    </cfRule>
  </conditionalFormatting>
  <conditionalFormatting sqref="H7:H78">
    <cfRule type="expression" dxfId="27" priority="119">
      <formula>IF(AND(X7=1,Y7=-1),1,0)</formula>
    </cfRule>
    <cfRule type="expression" dxfId="26" priority="130">
      <formula>IF(AND(X7=1,Y7=""),1,0)</formula>
    </cfRule>
    <cfRule type="expression" dxfId="25" priority="123">
      <formula>IF(AND(X7=1,Y7=0),1,0)</formula>
    </cfRule>
    <cfRule type="expression" dxfId="24" priority="122">
      <formula>IF(AND(X7=0,Y7=0),1,0)</formula>
    </cfRule>
    <cfRule type="expression" dxfId="23" priority="121">
      <formula>IF(AND(X7=1,Y7=1),1,0)</formula>
    </cfRule>
    <cfRule type="expression" dxfId="22" priority="120">
      <formula>IF(AND(X7=0,Y7=1),1,0)</formula>
    </cfRule>
    <cfRule type="expression" dxfId="21" priority="118">
      <formula>IF(AND(X7=0,Y7=-1),1,0)</formula>
    </cfRule>
  </conditionalFormatting>
  <conditionalFormatting sqref="J9:P9 J15:P15 J21:P21 J27:P27 J33:P33 J39:P39 J45:P45 J51:P51">
    <cfRule type="expression" dxfId="20" priority="134" stopIfTrue="1">
      <formula>IF(SUM($K9:$K12)=12,1,0)</formula>
    </cfRule>
  </conditionalFormatting>
  <conditionalFormatting sqref="J10:P10 J16:P16 J22:P22 J28:P28 J34:P34 J40:P40 J46:P46 J52:P52">
    <cfRule type="expression" dxfId="19" priority="135" stopIfTrue="1">
      <formula>IF(SUM($K9:$K12)=12,1,0)</formula>
    </cfRule>
  </conditionalFormatting>
  <conditionalFormatting sqref="J11:P11 J17:P17 J23:P23 J29:P29 J35:P35 J41:P41 J47:P47 J53:P53">
    <cfRule type="expression" dxfId="18" priority="137" stopIfTrue="1">
      <formula>IF(SUM($K9:$K12)=12,1,0)</formula>
    </cfRule>
  </conditionalFormatting>
  <conditionalFormatting sqref="J12:P12 J18:P18 J24:P24 J30:P30 J36:P36 J42:P42 J48:P48 J54:P55">
    <cfRule type="expression" dxfId="17" priority="136" stopIfTrue="1">
      <formula>IF(SUM($K9:$K12)=12,1,0)</formula>
    </cfRule>
  </conditionalFormatting>
  <conditionalFormatting sqref="J57:P57">
    <cfRule type="expression" dxfId="16" priority="13" stopIfTrue="1">
      <formula>IF(SUM($K57:$K60)=12,1,0)</formula>
    </cfRule>
  </conditionalFormatting>
  <conditionalFormatting sqref="J58:P58">
    <cfRule type="expression" dxfId="15" priority="14" stopIfTrue="1">
      <formula>IF(SUM($K57:$K60)=12,1,0)</formula>
    </cfRule>
  </conditionalFormatting>
  <conditionalFormatting sqref="J59:P59">
    <cfRule type="expression" dxfId="14" priority="16" stopIfTrue="1">
      <formula>IF(SUM($K57:$K60)=12,1,0)</formula>
    </cfRule>
  </conditionalFormatting>
  <conditionalFormatting sqref="J60:P61">
    <cfRule type="expression" dxfId="13" priority="15" stopIfTrue="1">
      <formula>IF(SUM($K57:$K60)=12,1,0)</formula>
    </cfRule>
  </conditionalFormatting>
  <conditionalFormatting sqref="J63:P63">
    <cfRule type="expression" dxfId="12" priority="9" stopIfTrue="1">
      <formula>IF(SUM($K63:$K66)=12,1,0)</formula>
    </cfRule>
  </conditionalFormatting>
  <conditionalFormatting sqref="J64:P64">
    <cfRule type="expression" dxfId="11" priority="10" stopIfTrue="1">
      <formula>IF(SUM($K63:$K66)=12,1,0)</formula>
    </cfRule>
  </conditionalFormatting>
  <conditionalFormatting sqref="J65:P65">
    <cfRule type="expression" dxfId="10" priority="12" stopIfTrue="1">
      <formula>IF(SUM($K63:$K66)=12,1,0)</formula>
    </cfRule>
  </conditionalFormatting>
  <conditionalFormatting sqref="J66:P67">
    <cfRule type="expression" dxfId="9" priority="11" stopIfTrue="1">
      <formula>IF(SUM($K63:$K66)=12,1,0)</formula>
    </cfRule>
  </conditionalFormatting>
  <conditionalFormatting sqref="J69:P69">
    <cfRule type="expression" dxfId="8" priority="5" stopIfTrue="1">
      <formula>IF(SUM($K69:$K72)=12,1,0)</formula>
    </cfRule>
  </conditionalFormatting>
  <conditionalFormatting sqref="J70:P70">
    <cfRule type="expression" dxfId="7" priority="6" stopIfTrue="1">
      <formula>IF(SUM($K69:$K72)=12,1,0)</formula>
    </cfRule>
  </conditionalFormatting>
  <conditionalFormatting sqref="J71:P71">
    <cfRule type="expression" dxfId="6" priority="8" stopIfTrue="1">
      <formula>IF(SUM($K69:$K72)=12,1,0)</formula>
    </cfRule>
  </conditionalFormatting>
  <conditionalFormatting sqref="J72:P73">
    <cfRule type="expression" dxfId="5" priority="7" stopIfTrue="1">
      <formula>IF(SUM($K69:$K72)=12,1,0)</formula>
    </cfRule>
  </conditionalFormatting>
  <conditionalFormatting sqref="J75:P75">
    <cfRule type="expression" dxfId="4" priority="1" stopIfTrue="1">
      <formula>IF(SUM($K75:$K78)=12,1,0)</formula>
    </cfRule>
  </conditionalFormatting>
  <conditionalFormatting sqref="J76:P76">
    <cfRule type="expression" dxfId="3" priority="2" stopIfTrue="1">
      <formula>IF(SUM($K75:$K78)=12,1,0)</formula>
    </cfRule>
  </conditionalFormatting>
  <conditionalFormatting sqref="J77:P77">
    <cfRule type="expression" dxfId="2" priority="4" stopIfTrue="1">
      <formula>IF(SUM($K75:$K78)=12,1,0)</formula>
    </cfRule>
  </conditionalFormatting>
  <conditionalFormatting sqref="J78:P79">
    <cfRule type="expression" dxfId="1" priority="3" stopIfTrue="1">
      <formula>IF(SUM($K75:$K78)=12,1,0)</formula>
    </cfRule>
  </conditionalFormatting>
  <dataValidations count="4">
    <dataValidation type="list" allowBlank="1" showInputMessage="1" showErrorMessage="1" promptTitle="Match results" prompt="Regular time result (90 min)" sqref="BA10:BA11 BA14:BA15 BA18:BA19 BA22:BA23 BA26:BA27 BA30:BA31 BA34:BA35 BA38:BA39 BH12:BH13 BH20:BH21 BH28:BH29 BH36:BH37 BO32:BO33 BO16:BO17 BV23:BV24 BA42:BA43 BA46:BA47 BA50:BA51 BA54:BA55 BA58:BA59 BA62:BA63 BA66:BA67 BA70:BA71 BH44:BH45 BH52:BH53 BH60:BH61 BH68:BH69 BO64:BO65 BO48:BO49 BV55:BV56 CC37:CC38 CC48:CC49" xr:uid="{00000000-0002-0000-0200-000001000000}">
      <formula1>"0,1,2,3,4,5,6,7,8,9,10,11,12,13,14,15,16,17,18,19,20"</formula1>
    </dataValidation>
    <dataValidation type="list" allowBlank="1" showInputMessage="1" showErrorMessage="1" promptTitle="Match result" prompt="Extra-time result (+30 min)" sqref="BB10:BB11 BB14:BB15 BB18:BB19 BB22:BB23 BB26:BB27 BB30:BB31 BB34:BB35 BB38:BB39 BI12:BI13 BI20:BI21 BI28:BI29 BI36:BI37 BP16:BP17 BP32:BP33 BW23:BW24 BB42:BB43 BB46:BB47 BB50:BB51 BB54:BB55 BB58:BB59 BB62:BB63 BB66:BB67 BB70:BB71 BI44:BI45 BI52:BI53 BI60:BI61 BI68:BI69 BP48:BP49 BP64:BP65 BW55:BW56 CD37:CD38 CD48:CD49" xr:uid="{00000000-0002-0000-0200-000002000000}">
      <formula1>"0,1,2,3,4,5"</formula1>
    </dataValidation>
    <dataValidation type="list" allowBlank="1" showInputMessage="1" showErrorMessage="1" promptTitle="Match result" prompt="Penalties" sqref="BC10:BC11 BC14:BC15 BC18:BC19 BC22:BC23 BC26:BC27 BC30:BC31 BC34:BC35 BC38:BC39 BJ36:BJ37 BJ28:BJ29 BJ20:BJ21 BJ12:BJ13 BQ16:BQ17 BQ32:BQ33 BX23:BX24 BC42:BC43 BC46:BC47 BC50:BC51 BC54:BC55 BC58:BC59 BC62:BC63 BC66:BC67 BC70:BC71 BJ68:BJ69 BJ60:BJ61 BJ52:BJ53 BJ44:BJ45 BQ48:BQ49 BQ64:BQ65 BX55:BX56 CE37:CE38 CE48:CE49" xr:uid="{00000000-0002-0000-0200-000003000000}">
      <formula1>"0,1,2,3,4,5,6,7,8,9,10,11,12,13,14,15,16,17,18,19,20"</formula1>
    </dataValidation>
    <dataValidation type="list" allowBlank="1" showInputMessage="1" showErrorMessage="1" sqref="F7:G78" xr:uid="{00000000-0002-0000-0200-000000000000}">
      <formula1>"0,1,2,3,4,5,6,7,8,9"</formula1>
    </dataValidation>
  </dataValidations>
  <hyperlinks>
    <hyperlink ref="O3" location="Settings!C4" tooltip="Settings" display="Settings!C4" xr:uid="{00000000-0004-0000-0200-000000000000}"/>
    <hyperlink ref="J5:P5" r:id="rId1" tooltip="Excel Schedule" display="Home Page: www.excely.com" xr:uid="{00000000-0004-0000-0200-000001000000}"/>
    <hyperlink ref="J5:P6" r:id="rId2" tooltip="World Cup 2026 Schedule in Excel" display="Home Page: www.excely.com" xr:uid="{00000000-0004-0000-0200-000002000000}"/>
    <hyperlink ref="C83:G88" r:id="rId3" tooltip="World Cup 2026 Interactive Schedule Online - www.wallchart.io" display="http://www.wallchart.io/football/world-cup-2026.html" xr:uid="{B1669A47-7637-4B28-8617-393E712CE0C6}"/>
  </hyperlinks>
  <printOptions horizontalCentered="1" verticalCentered="1"/>
  <pageMargins left="0.7" right="0.7" top="0.75" bottom="0.75" header="0.3" footer="0.3"/>
  <pageSetup paperSize="9" scale="35" orientation="landscape" r:id="rId4"/>
  <headerFooter>
    <oddFooter>&amp;Cwww.excely.com (c) 2026</oddFooter>
  </headerFooter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2A316-429C-49FB-9962-F944380EA825}">
  <dimension ref="B1:K500"/>
  <sheetViews>
    <sheetView showGridLines="0" workbookViewId="0">
      <selection activeCell="B3" sqref="B3"/>
    </sheetView>
  </sheetViews>
  <sheetFormatPr defaultRowHeight="15" x14ac:dyDescent="0.25"/>
  <cols>
    <col min="1" max="1" width="2.42578125" style="82" customWidth="1"/>
    <col min="2" max="2" width="9.140625" style="81"/>
    <col min="3" max="3" width="13.7109375" style="81" customWidth="1"/>
    <col min="4" max="11" width="9.42578125" style="81" customWidth="1"/>
    <col min="12" max="16384" width="9.140625" style="82"/>
  </cols>
  <sheetData>
    <row r="1" spans="2:11" ht="8.25" customHeight="1" x14ac:dyDescent="0.25"/>
    <row r="2" spans="2:11" ht="21" x14ac:dyDescent="0.25">
      <c r="B2" s="108" t="s">
        <v>3188</v>
      </c>
    </row>
    <row r="3" spans="2:11" x14ac:dyDescent="0.25">
      <c r="B3" s="109">
        <f>MATCH(C3,C6:C500,0)</f>
        <v>194</v>
      </c>
      <c r="C3" s="110" t="str">
        <f>'2026 World Cup'!AN91</f>
        <v>ADEFGIJL</v>
      </c>
      <c r="D3" s="110" t="str">
        <f>VLOOKUP($C3,$C$6:$K$500,2,FALSE)</f>
        <v>3E</v>
      </c>
      <c r="E3" s="110" t="str">
        <f>VLOOKUP($C3,$C$6:$K$500,3,FALSE)</f>
        <v>3G</v>
      </c>
      <c r="F3" s="110" t="str">
        <f>VLOOKUP($C3,$C$6:$K$500,4,FALSE)</f>
        <v>3J</v>
      </c>
      <c r="G3" s="110" t="str">
        <f>VLOOKUP($C3,$C$6:$K$500,5,FALSE)</f>
        <v>3D</v>
      </c>
      <c r="H3" s="110" t="str">
        <f>VLOOKUP($C3,$C$6:$K$500,6,FALSE)</f>
        <v>3A</v>
      </c>
      <c r="I3" s="110" t="str">
        <f>VLOOKUP($C3,$C$6:$K$500,7,FALSE)</f>
        <v>3F</v>
      </c>
      <c r="J3" s="110" t="str">
        <f>VLOOKUP($C3,$C$6:$K$500,8,FALSE)</f>
        <v>3L</v>
      </c>
      <c r="K3" s="111" t="str">
        <f>VLOOKUP($C3,$C$6:$K$500,9,FALSE)</f>
        <v>3I</v>
      </c>
    </row>
    <row r="5" spans="2:11" ht="19.5" customHeight="1" x14ac:dyDescent="0.25">
      <c r="B5" s="84" t="s">
        <v>3189</v>
      </c>
      <c r="C5" s="85"/>
      <c r="D5" s="86" t="s">
        <v>3190</v>
      </c>
      <c r="E5" s="86" t="s">
        <v>3191</v>
      </c>
      <c r="F5" s="86" t="s">
        <v>3192</v>
      </c>
      <c r="G5" s="86" t="s">
        <v>3193</v>
      </c>
      <c r="H5" s="86" t="s">
        <v>3194</v>
      </c>
      <c r="I5" s="86" t="s">
        <v>3195</v>
      </c>
      <c r="J5" s="86" t="s">
        <v>3196</v>
      </c>
      <c r="K5" s="87" t="s">
        <v>3197</v>
      </c>
    </row>
    <row r="6" spans="2:11" x14ac:dyDescent="0.25">
      <c r="B6" s="88">
        <v>1</v>
      </c>
      <c r="C6" s="83" t="s">
        <v>3198</v>
      </c>
      <c r="D6" s="83" t="s">
        <v>3180</v>
      </c>
      <c r="E6" s="83" t="s">
        <v>3185</v>
      </c>
      <c r="F6" s="83" t="s">
        <v>3184</v>
      </c>
      <c r="G6" s="83" t="s">
        <v>3181</v>
      </c>
      <c r="H6" s="83" t="s">
        <v>3183</v>
      </c>
      <c r="I6" s="83" t="s">
        <v>3182</v>
      </c>
      <c r="J6" s="83" t="s">
        <v>3187</v>
      </c>
      <c r="K6" s="89" t="s">
        <v>3186</v>
      </c>
    </row>
    <row r="7" spans="2:11" x14ac:dyDescent="0.25">
      <c r="B7" s="88">
        <v>2</v>
      </c>
      <c r="C7" s="83" t="s">
        <v>3199</v>
      </c>
      <c r="D7" s="83" t="s">
        <v>3183</v>
      </c>
      <c r="E7" s="83" t="s">
        <v>3182</v>
      </c>
      <c r="F7" s="83" t="s">
        <v>3184</v>
      </c>
      <c r="G7" s="83" t="s">
        <v>3179</v>
      </c>
      <c r="H7" s="83" t="s">
        <v>3185</v>
      </c>
      <c r="I7" s="83" t="s">
        <v>3181</v>
      </c>
      <c r="J7" s="83" t="s">
        <v>3187</v>
      </c>
      <c r="K7" s="89" t="s">
        <v>3186</v>
      </c>
    </row>
    <row r="8" spans="2:11" x14ac:dyDescent="0.25">
      <c r="B8" s="88">
        <v>3</v>
      </c>
      <c r="C8" s="83" t="s">
        <v>3200</v>
      </c>
      <c r="D8" s="83" t="s">
        <v>3180</v>
      </c>
      <c r="E8" s="83" t="s">
        <v>3185</v>
      </c>
      <c r="F8" s="83" t="s">
        <v>3184</v>
      </c>
      <c r="G8" s="83" t="s">
        <v>3179</v>
      </c>
      <c r="H8" s="83" t="s">
        <v>3183</v>
      </c>
      <c r="I8" s="83" t="s">
        <v>3182</v>
      </c>
      <c r="J8" s="83" t="s">
        <v>3187</v>
      </c>
      <c r="K8" s="89" t="s">
        <v>3186</v>
      </c>
    </row>
    <row r="9" spans="2:11" x14ac:dyDescent="0.25">
      <c r="B9" s="88">
        <v>4</v>
      </c>
      <c r="C9" s="83" t="s">
        <v>3201</v>
      </c>
      <c r="D9" s="83" t="s">
        <v>3180</v>
      </c>
      <c r="E9" s="83" t="s">
        <v>3185</v>
      </c>
      <c r="F9" s="83" t="s">
        <v>3184</v>
      </c>
      <c r="G9" s="83" t="s">
        <v>3179</v>
      </c>
      <c r="H9" s="83" t="s">
        <v>3183</v>
      </c>
      <c r="I9" s="83" t="s">
        <v>3181</v>
      </c>
      <c r="J9" s="83" t="s">
        <v>3187</v>
      </c>
      <c r="K9" s="89" t="s">
        <v>3186</v>
      </c>
    </row>
    <row r="10" spans="2:11" x14ac:dyDescent="0.25">
      <c r="B10" s="88">
        <v>5</v>
      </c>
      <c r="C10" s="83" t="s">
        <v>3202</v>
      </c>
      <c r="D10" s="83" t="s">
        <v>3180</v>
      </c>
      <c r="E10" s="83" t="s">
        <v>3182</v>
      </c>
      <c r="F10" s="83" t="s">
        <v>3184</v>
      </c>
      <c r="G10" s="83" t="s">
        <v>3179</v>
      </c>
      <c r="H10" s="83" t="s">
        <v>3185</v>
      </c>
      <c r="I10" s="83" t="s">
        <v>3181</v>
      </c>
      <c r="J10" s="83" t="s">
        <v>3187</v>
      </c>
      <c r="K10" s="89" t="s">
        <v>3186</v>
      </c>
    </row>
    <row r="11" spans="2:11" x14ac:dyDescent="0.25">
      <c r="B11" s="88">
        <v>6</v>
      </c>
      <c r="C11" s="83" t="s">
        <v>3203</v>
      </c>
      <c r="D11" s="83" t="s">
        <v>3180</v>
      </c>
      <c r="E11" s="83" t="s">
        <v>3182</v>
      </c>
      <c r="F11" s="83" t="s">
        <v>3185</v>
      </c>
      <c r="G11" s="83" t="s">
        <v>3179</v>
      </c>
      <c r="H11" s="83" t="s">
        <v>3183</v>
      </c>
      <c r="I11" s="83" t="s">
        <v>3181</v>
      </c>
      <c r="J11" s="83" t="s">
        <v>3187</v>
      </c>
      <c r="K11" s="89" t="s">
        <v>3186</v>
      </c>
    </row>
    <row r="12" spans="2:11" x14ac:dyDescent="0.25">
      <c r="B12" s="88">
        <v>7</v>
      </c>
      <c r="C12" s="83" t="s">
        <v>3204</v>
      </c>
      <c r="D12" s="83" t="s">
        <v>3180</v>
      </c>
      <c r="E12" s="83" t="s">
        <v>3182</v>
      </c>
      <c r="F12" s="83" t="s">
        <v>3184</v>
      </c>
      <c r="G12" s="83" t="s">
        <v>3179</v>
      </c>
      <c r="H12" s="83" t="s">
        <v>3183</v>
      </c>
      <c r="I12" s="83" t="s">
        <v>3181</v>
      </c>
      <c r="J12" s="83" t="s">
        <v>3187</v>
      </c>
      <c r="K12" s="89" t="s">
        <v>3186</v>
      </c>
    </row>
    <row r="13" spans="2:11" x14ac:dyDescent="0.25">
      <c r="B13" s="88">
        <v>8</v>
      </c>
      <c r="C13" s="83" t="s">
        <v>3205</v>
      </c>
      <c r="D13" s="83" t="s">
        <v>3180</v>
      </c>
      <c r="E13" s="83" t="s">
        <v>3182</v>
      </c>
      <c r="F13" s="83" t="s">
        <v>3185</v>
      </c>
      <c r="G13" s="83" t="s">
        <v>3179</v>
      </c>
      <c r="H13" s="83" t="s">
        <v>3183</v>
      </c>
      <c r="I13" s="83" t="s">
        <v>3181</v>
      </c>
      <c r="J13" s="83" t="s">
        <v>3187</v>
      </c>
      <c r="K13" s="89" t="s">
        <v>3184</v>
      </c>
    </row>
    <row r="14" spans="2:11" x14ac:dyDescent="0.25">
      <c r="B14" s="88">
        <v>9</v>
      </c>
      <c r="C14" s="83" t="s">
        <v>3206</v>
      </c>
      <c r="D14" s="83" t="s">
        <v>3180</v>
      </c>
      <c r="E14" s="83" t="s">
        <v>3182</v>
      </c>
      <c r="F14" s="83" t="s">
        <v>3185</v>
      </c>
      <c r="G14" s="83" t="s">
        <v>3179</v>
      </c>
      <c r="H14" s="83" t="s">
        <v>3183</v>
      </c>
      <c r="I14" s="83" t="s">
        <v>3181</v>
      </c>
      <c r="J14" s="83" t="s">
        <v>3184</v>
      </c>
      <c r="K14" s="89" t="s">
        <v>3186</v>
      </c>
    </row>
    <row r="15" spans="2:11" x14ac:dyDescent="0.25">
      <c r="B15" s="88">
        <v>10</v>
      </c>
      <c r="C15" s="83" t="s">
        <v>3207</v>
      </c>
      <c r="D15" s="83" t="s">
        <v>3183</v>
      </c>
      <c r="E15" s="83" t="s">
        <v>3182</v>
      </c>
      <c r="F15" s="83" t="s">
        <v>3184</v>
      </c>
      <c r="G15" s="83" t="s">
        <v>3178</v>
      </c>
      <c r="H15" s="83" t="s">
        <v>3185</v>
      </c>
      <c r="I15" s="83" t="s">
        <v>3181</v>
      </c>
      <c r="J15" s="83" t="s">
        <v>3187</v>
      </c>
      <c r="K15" s="89" t="s">
        <v>3186</v>
      </c>
    </row>
    <row r="16" spans="2:11" x14ac:dyDescent="0.25">
      <c r="B16" s="88">
        <v>11</v>
      </c>
      <c r="C16" s="83" t="s">
        <v>3208</v>
      </c>
      <c r="D16" s="83" t="s">
        <v>3180</v>
      </c>
      <c r="E16" s="83" t="s">
        <v>3185</v>
      </c>
      <c r="F16" s="83" t="s">
        <v>3184</v>
      </c>
      <c r="G16" s="83" t="s">
        <v>3178</v>
      </c>
      <c r="H16" s="83" t="s">
        <v>3183</v>
      </c>
      <c r="I16" s="83" t="s">
        <v>3182</v>
      </c>
      <c r="J16" s="83" t="s">
        <v>3187</v>
      </c>
      <c r="K16" s="89" t="s">
        <v>3186</v>
      </c>
    </row>
    <row r="17" spans="2:11" x14ac:dyDescent="0.25">
      <c r="B17" s="88">
        <v>12</v>
      </c>
      <c r="C17" s="83" t="s">
        <v>3209</v>
      </c>
      <c r="D17" s="83" t="s">
        <v>3180</v>
      </c>
      <c r="E17" s="83" t="s">
        <v>3185</v>
      </c>
      <c r="F17" s="83" t="s">
        <v>3184</v>
      </c>
      <c r="G17" s="83" t="s">
        <v>3178</v>
      </c>
      <c r="H17" s="83" t="s">
        <v>3183</v>
      </c>
      <c r="I17" s="83" t="s">
        <v>3181</v>
      </c>
      <c r="J17" s="83" t="s">
        <v>3187</v>
      </c>
      <c r="K17" s="89" t="s">
        <v>3186</v>
      </c>
    </row>
    <row r="18" spans="2:11" x14ac:dyDescent="0.25">
      <c r="B18" s="88">
        <v>13</v>
      </c>
      <c r="C18" s="83" t="s">
        <v>3210</v>
      </c>
      <c r="D18" s="83" t="s">
        <v>3180</v>
      </c>
      <c r="E18" s="83" t="s">
        <v>3182</v>
      </c>
      <c r="F18" s="83" t="s">
        <v>3184</v>
      </c>
      <c r="G18" s="83" t="s">
        <v>3178</v>
      </c>
      <c r="H18" s="83" t="s">
        <v>3185</v>
      </c>
      <c r="I18" s="83" t="s">
        <v>3181</v>
      </c>
      <c r="J18" s="83" t="s">
        <v>3187</v>
      </c>
      <c r="K18" s="89" t="s">
        <v>3186</v>
      </c>
    </row>
    <row r="19" spans="2:11" x14ac:dyDescent="0.25">
      <c r="B19" s="88">
        <v>14</v>
      </c>
      <c r="C19" s="83" t="s">
        <v>3211</v>
      </c>
      <c r="D19" s="83" t="s">
        <v>3180</v>
      </c>
      <c r="E19" s="83" t="s">
        <v>3182</v>
      </c>
      <c r="F19" s="83" t="s">
        <v>3185</v>
      </c>
      <c r="G19" s="83" t="s">
        <v>3178</v>
      </c>
      <c r="H19" s="83" t="s">
        <v>3183</v>
      </c>
      <c r="I19" s="83" t="s">
        <v>3181</v>
      </c>
      <c r="J19" s="83" t="s">
        <v>3187</v>
      </c>
      <c r="K19" s="89" t="s">
        <v>3186</v>
      </c>
    </row>
    <row r="20" spans="2:11" x14ac:dyDescent="0.25">
      <c r="B20" s="88">
        <v>15</v>
      </c>
      <c r="C20" s="83" t="s">
        <v>3212</v>
      </c>
      <c r="D20" s="83" t="s">
        <v>3180</v>
      </c>
      <c r="E20" s="83" t="s">
        <v>3182</v>
      </c>
      <c r="F20" s="83" t="s">
        <v>3184</v>
      </c>
      <c r="G20" s="83" t="s">
        <v>3178</v>
      </c>
      <c r="H20" s="83" t="s">
        <v>3183</v>
      </c>
      <c r="I20" s="83" t="s">
        <v>3181</v>
      </c>
      <c r="J20" s="83" t="s">
        <v>3187</v>
      </c>
      <c r="K20" s="89" t="s">
        <v>3186</v>
      </c>
    </row>
    <row r="21" spans="2:11" x14ac:dyDescent="0.25">
      <c r="B21" s="88">
        <v>16</v>
      </c>
      <c r="C21" s="83" t="s">
        <v>3213</v>
      </c>
      <c r="D21" s="83" t="s">
        <v>3180</v>
      </c>
      <c r="E21" s="83" t="s">
        <v>3182</v>
      </c>
      <c r="F21" s="83" t="s">
        <v>3185</v>
      </c>
      <c r="G21" s="83" t="s">
        <v>3178</v>
      </c>
      <c r="H21" s="83" t="s">
        <v>3183</v>
      </c>
      <c r="I21" s="83" t="s">
        <v>3181</v>
      </c>
      <c r="J21" s="83" t="s">
        <v>3187</v>
      </c>
      <c r="K21" s="89" t="s">
        <v>3184</v>
      </c>
    </row>
    <row r="22" spans="2:11" x14ac:dyDescent="0.25">
      <c r="B22" s="88">
        <v>17</v>
      </c>
      <c r="C22" s="83" t="s">
        <v>3214</v>
      </c>
      <c r="D22" s="83" t="s">
        <v>3180</v>
      </c>
      <c r="E22" s="83" t="s">
        <v>3182</v>
      </c>
      <c r="F22" s="83" t="s">
        <v>3185</v>
      </c>
      <c r="G22" s="83" t="s">
        <v>3178</v>
      </c>
      <c r="H22" s="83" t="s">
        <v>3183</v>
      </c>
      <c r="I22" s="83" t="s">
        <v>3181</v>
      </c>
      <c r="J22" s="83" t="s">
        <v>3184</v>
      </c>
      <c r="K22" s="89" t="s">
        <v>3186</v>
      </c>
    </row>
    <row r="23" spans="2:11" x14ac:dyDescent="0.25">
      <c r="B23" s="88">
        <v>18</v>
      </c>
      <c r="C23" s="83" t="s">
        <v>3215</v>
      </c>
      <c r="D23" s="83" t="s">
        <v>3183</v>
      </c>
      <c r="E23" s="83" t="s">
        <v>3182</v>
      </c>
      <c r="F23" s="83" t="s">
        <v>3184</v>
      </c>
      <c r="G23" s="83" t="s">
        <v>3178</v>
      </c>
      <c r="H23" s="83" t="s">
        <v>3185</v>
      </c>
      <c r="I23" s="83" t="s">
        <v>3179</v>
      </c>
      <c r="J23" s="83" t="s">
        <v>3187</v>
      </c>
      <c r="K23" s="89" t="s">
        <v>3186</v>
      </c>
    </row>
    <row r="24" spans="2:11" x14ac:dyDescent="0.25">
      <c r="B24" s="88">
        <v>19</v>
      </c>
      <c r="C24" s="83" t="s">
        <v>3216</v>
      </c>
      <c r="D24" s="83" t="s">
        <v>3178</v>
      </c>
      <c r="E24" s="83" t="s">
        <v>3185</v>
      </c>
      <c r="F24" s="83" t="s">
        <v>3184</v>
      </c>
      <c r="G24" s="83" t="s">
        <v>3179</v>
      </c>
      <c r="H24" s="83" t="s">
        <v>3183</v>
      </c>
      <c r="I24" s="83" t="s">
        <v>3181</v>
      </c>
      <c r="J24" s="83" t="s">
        <v>3187</v>
      </c>
      <c r="K24" s="89" t="s">
        <v>3186</v>
      </c>
    </row>
    <row r="25" spans="2:11" x14ac:dyDescent="0.25">
      <c r="B25" s="88">
        <v>20</v>
      </c>
      <c r="C25" s="83" t="s">
        <v>3217</v>
      </c>
      <c r="D25" s="83" t="s">
        <v>3178</v>
      </c>
      <c r="E25" s="83" t="s">
        <v>3182</v>
      </c>
      <c r="F25" s="83" t="s">
        <v>3184</v>
      </c>
      <c r="G25" s="83" t="s">
        <v>3179</v>
      </c>
      <c r="H25" s="83" t="s">
        <v>3185</v>
      </c>
      <c r="I25" s="83" t="s">
        <v>3181</v>
      </c>
      <c r="J25" s="83" t="s">
        <v>3187</v>
      </c>
      <c r="K25" s="89" t="s">
        <v>3186</v>
      </c>
    </row>
    <row r="26" spans="2:11" x14ac:dyDescent="0.25">
      <c r="B26" s="88">
        <v>21</v>
      </c>
      <c r="C26" s="83" t="s">
        <v>3218</v>
      </c>
      <c r="D26" s="83" t="s">
        <v>3178</v>
      </c>
      <c r="E26" s="83" t="s">
        <v>3182</v>
      </c>
      <c r="F26" s="83" t="s">
        <v>3185</v>
      </c>
      <c r="G26" s="83" t="s">
        <v>3179</v>
      </c>
      <c r="H26" s="83" t="s">
        <v>3183</v>
      </c>
      <c r="I26" s="83" t="s">
        <v>3181</v>
      </c>
      <c r="J26" s="83" t="s">
        <v>3187</v>
      </c>
      <c r="K26" s="89" t="s">
        <v>3186</v>
      </c>
    </row>
    <row r="27" spans="2:11" x14ac:dyDescent="0.25">
      <c r="B27" s="88">
        <v>22</v>
      </c>
      <c r="C27" s="83" t="s">
        <v>3219</v>
      </c>
      <c r="D27" s="83" t="s">
        <v>3178</v>
      </c>
      <c r="E27" s="83" t="s">
        <v>3182</v>
      </c>
      <c r="F27" s="83" t="s">
        <v>3184</v>
      </c>
      <c r="G27" s="83" t="s">
        <v>3179</v>
      </c>
      <c r="H27" s="83" t="s">
        <v>3183</v>
      </c>
      <c r="I27" s="83" t="s">
        <v>3181</v>
      </c>
      <c r="J27" s="83" t="s">
        <v>3187</v>
      </c>
      <c r="K27" s="89" t="s">
        <v>3186</v>
      </c>
    </row>
    <row r="28" spans="2:11" x14ac:dyDescent="0.25">
      <c r="B28" s="88">
        <v>23</v>
      </c>
      <c r="C28" s="83" t="s">
        <v>3220</v>
      </c>
      <c r="D28" s="83" t="s">
        <v>3178</v>
      </c>
      <c r="E28" s="83" t="s">
        <v>3182</v>
      </c>
      <c r="F28" s="83" t="s">
        <v>3185</v>
      </c>
      <c r="G28" s="83" t="s">
        <v>3179</v>
      </c>
      <c r="H28" s="83" t="s">
        <v>3183</v>
      </c>
      <c r="I28" s="83" t="s">
        <v>3181</v>
      </c>
      <c r="J28" s="83" t="s">
        <v>3187</v>
      </c>
      <c r="K28" s="89" t="s">
        <v>3184</v>
      </c>
    </row>
    <row r="29" spans="2:11" x14ac:dyDescent="0.25">
      <c r="B29" s="88">
        <v>24</v>
      </c>
      <c r="C29" s="83" t="s">
        <v>3221</v>
      </c>
      <c r="D29" s="83" t="s">
        <v>3178</v>
      </c>
      <c r="E29" s="83" t="s">
        <v>3182</v>
      </c>
      <c r="F29" s="83" t="s">
        <v>3185</v>
      </c>
      <c r="G29" s="83" t="s">
        <v>3179</v>
      </c>
      <c r="H29" s="83" t="s">
        <v>3183</v>
      </c>
      <c r="I29" s="83" t="s">
        <v>3181</v>
      </c>
      <c r="J29" s="83" t="s">
        <v>3184</v>
      </c>
      <c r="K29" s="89" t="s">
        <v>3186</v>
      </c>
    </row>
    <row r="30" spans="2:11" x14ac:dyDescent="0.25">
      <c r="B30" s="88">
        <v>25</v>
      </c>
      <c r="C30" s="83" t="s">
        <v>3222</v>
      </c>
      <c r="D30" s="83" t="s">
        <v>3180</v>
      </c>
      <c r="E30" s="83" t="s">
        <v>3185</v>
      </c>
      <c r="F30" s="83" t="s">
        <v>3184</v>
      </c>
      <c r="G30" s="83" t="s">
        <v>3178</v>
      </c>
      <c r="H30" s="83" t="s">
        <v>3183</v>
      </c>
      <c r="I30" s="83" t="s">
        <v>3179</v>
      </c>
      <c r="J30" s="83" t="s">
        <v>3187</v>
      </c>
      <c r="K30" s="89" t="s">
        <v>3186</v>
      </c>
    </row>
    <row r="31" spans="2:11" x14ac:dyDescent="0.25">
      <c r="B31" s="88">
        <v>26</v>
      </c>
      <c r="C31" s="83" t="s">
        <v>3223</v>
      </c>
      <c r="D31" s="83" t="s">
        <v>3180</v>
      </c>
      <c r="E31" s="83" t="s">
        <v>3182</v>
      </c>
      <c r="F31" s="83" t="s">
        <v>3184</v>
      </c>
      <c r="G31" s="83" t="s">
        <v>3178</v>
      </c>
      <c r="H31" s="83" t="s">
        <v>3185</v>
      </c>
      <c r="I31" s="83" t="s">
        <v>3179</v>
      </c>
      <c r="J31" s="83" t="s">
        <v>3187</v>
      </c>
      <c r="K31" s="89" t="s">
        <v>3186</v>
      </c>
    </row>
    <row r="32" spans="2:11" x14ac:dyDescent="0.25">
      <c r="B32" s="88">
        <v>27</v>
      </c>
      <c r="C32" s="83" t="s">
        <v>3224</v>
      </c>
      <c r="D32" s="83" t="s">
        <v>3180</v>
      </c>
      <c r="E32" s="83" t="s">
        <v>3182</v>
      </c>
      <c r="F32" s="83" t="s">
        <v>3185</v>
      </c>
      <c r="G32" s="83" t="s">
        <v>3178</v>
      </c>
      <c r="H32" s="83" t="s">
        <v>3183</v>
      </c>
      <c r="I32" s="83" t="s">
        <v>3179</v>
      </c>
      <c r="J32" s="83" t="s">
        <v>3187</v>
      </c>
      <c r="K32" s="89" t="s">
        <v>3186</v>
      </c>
    </row>
    <row r="33" spans="2:11" x14ac:dyDescent="0.25">
      <c r="B33" s="88">
        <v>28</v>
      </c>
      <c r="C33" s="83" t="s">
        <v>3225</v>
      </c>
      <c r="D33" s="83" t="s">
        <v>3180</v>
      </c>
      <c r="E33" s="83" t="s">
        <v>3182</v>
      </c>
      <c r="F33" s="83" t="s">
        <v>3184</v>
      </c>
      <c r="G33" s="83" t="s">
        <v>3178</v>
      </c>
      <c r="H33" s="83" t="s">
        <v>3183</v>
      </c>
      <c r="I33" s="83" t="s">
        <v>3179</v>
      </c>
      <c r="J33" s="83" t="s">
        <v>3187</v>
      </c>
      <c r="K33" s="89" t="s">
        <v>3186</v>
      </c>
    </row>
    <row r="34" spans="2:11" x14ac:dyDescent="0.25">
      <c r="B34" s="88">
        <v>29</v>
      </c>
      <c r="C34" s="83" t="s">
        <v>3226</v>
      </c>
      <c r="D34" s="83" t="s">
        <v>3180</v>
      </c>
      <c r="E34" s="83" t="s">
        <v>3182</v>
      </c>
      <c r="F34" s="83" t="s">
        <v>3185</v>
      </c>
      <c r="G34" s="83" t="s">
        <v>3178</v>
      </c>
      <c r="H34" s="83" t="s">
        <v>3183</v>
      </c>
      <c r="I34" s="83" t="s">
        <v>3179</v>
      </c>
      <c r="J34" s="83" t="s">
        <v>3187</v>
      </c>
      <c r="K34" s="89" t="s">
        <v>3184</v>
      </c>
    </row>
    <row r="35" spans="2:11" x14ac:dyDescent="0.25">
      <c r="B35" s="88">
        <v>30</v>
      </c>
      <c r="C35" s="83" t="s">
        <v>3227</v>
      </c>
      <c r="D35" s="83" t="s">
        <v>3180</v>
      </c>
      <c r="E35" s="83" t="s">
        <v>3182</v>
      </c>
      <c r="F35" s="83" t="s">
        <v>3185</v>
      </c>
      <c r="G35" s="83" t="s">
        <v>3178</v>
      </c>
      <c r="H35" s="83" t="s">
        <v>3183</v>
      </c>
      <c r="I35" s="83" t="s">
        <v>3179</v>
      </c>
      <c r="J35" s="83" t="s">
        <v>3184</v>
      </c>
      <c r="K35" s="89" t="s">
        <v>3186</v>
      </c>
    </row>
    <row r="36" spans="2:11" x14ac:dyDescent="0.25">
      <c r="B36" s="88">
        <v>31</v>
      </c>
      <c r="C36" s="83" t="s">
        <v>3228</v>
      </c>
      <c r="D36" s="83" t="s">
        <v>3178</v>
      </c>
      <c r="E36" s="83" t="s">
        <v>3185</v>
      </c>
      <c r="F36" s="83" t="s">
        <v>3180</v>
      </c>
      <c r="G36" s="83" t="s">
        <v>3179</v>
      </c>
      <c r="H36" s="83" t="s">
        <v>3184</v>
      </c>
      <c r="I36" s="83" t="s">
        <v>3181</v>
      </c>
      <c r="J36" s="83" t="s">
        <v>3187</v>
      </c>
      <c r="K36" s="89" t="s">
        <v>3186</v>
      </c>
    </row>
    <row r="37" spans="2:11" x14ac:dyDescent="0.25">
      <c r="B37" s="88">
        <v>32</v>
      </c>
      <c r="C37" s="83" t="s">
        <v>3229</v>
      </c>
      <c r="D37" s="83" t="s">
        <v>3178</v>
      </c>
      <c r="E37" s="83" t="s">
        <v>3185</v>
      </c>
      <c r="F37" s="83" t="s">
        <v>3180</v>
      </c>
      <c r="G37" s="83" t="s">
        <v>3179</v>
      </c>
      <c r="H37" s="83" t="s">
        <v>3183</v>
      </c>
      <c r="I37" s="83" t="s">
        <v>3181</v>
      </c>
      <c r="J37" s="83" t="s">
        <v>3187</v>
      </c>
      <c r="K37" s="89" t="s">
        <v>3186</v>
      </c>
    </row>
    <row r="38" spans="2:11" x14ac:dyDescent="0.25">
      <c r="B38" s="88">
        <v>33</v>
      </c>
      <c r="C38" s="83" t="s">
        <v>3230</v>
      </c>
      <c r="D38" s="83" t="s">
        <v>3178</v>
      </c>
      <c r="E38" s="83" t="s">
        <v>3180</v>
      </c>
      <c r="F38" s="83" t="s">
        <v>3184</v>
      </c>
      <c r="G38" s="83" t="s">
        <v>3179</v>
      </c>
      <c r="H38" s="83" t="s">
        <v>3183</v>
      </c>
      <c r="I38" s="83" t="s">
        <v>3181</v>
      </c>
      <c r="J38" s="83" t="s">
        <v>3187</v>
      </c>
      <c r="K38" s="89" t="s">
        <v>3186</v>
      </c>
    </row>
    <row r="39" spans="2:11" x14ac:dyDescent="0.25">
      <c r="B39" s="88">
        <v>34</v>
      </c>
      <c r="C39" s="83" t="s">
        <v>3231</v>
      </c>
      <c r="D39" s="83" t="s">
        <v>3178</v>
      </c>
      <c r="E39" s="83" t="s">
        <v>3185</v>
      </c>
      <c r="F39" s="83" t="s">
        <v>3180</v>
      </c>
      <c r="G39" s="83" t="s">
        <v>3179</v>
      </c>
      <c r="H39" s="83" t="s">
        <v>3183</v>
      </c>
      <c r="I39" s="83" t="s">
        <v>3181</v>
      </c>
      <c r="J39" s="83" t="s">
        <v>3187</v>
      </c>
      <c r="K39" s="89" t="s">
        <v>3184</v>
      </c>
    </row>
    <row r="40" spans="2:11" x14ac:dyDescent="0.25">
      <c r="B40" s="88">
        <v>35</v>
      </c>
      <c r="C40" s="83" t="s">
        <v>3232</v>
      </c>
      <c r="D40" s="83" t="s">
        <v>3178</v>
      </c>
      <c r="E40" s="83" t="s">
        <v>3185</v>
      </c>
      <c r="F40" s="83" t="s">
        <v>3180</v>
      </c>
      <c r="G40" s="83" t="s">
        <v>3179</v>
      </c>
      <c r="H40" s="83" t="s">
        <v>3183</v>
      </c>
      <c r="I40" s="83" t="s">
        <v>3181</v>
      </c>
      <c r="J40" s="83" t="s">
        <v>3184</v>
      </c>
      <c r="K40" s="89" t="s">
        <v>3186</v>
      </c>
    </row>
    <row r="41" spans="2:11" x14ac:dyDescent="0.25">
      <c r="B41" s="88">
        <v>36</v>
      </c>
      <c r="C41" s="83" t="s">
        <v>3233</v>
      </c>
      <c r="D41" s="83" t="s">
        <v>3178</v>
      </c>
      <c r="E41" s="83" t="s">
        <v>3182</v>
      </c>
      <c r="F41" s="83" t="s">
        <v>3180</v>
      </c>
      <c r="G41" s="83" t="s">
        <v>3179</v>
      </c>
      <c r="H41" s="83" t="s">
        <v>3185</v>
      </c>
      <c r="I41" s="83" t="s">
        <v>3181</v>
      </c>
      <c r="J41" s="83" t="s">
        <v>3187</v>
      </c>
      <c r="K41" s="89" t="s">
        <v>3186</v>
      </c>
    </row>
    <row r="42" spans="2:11" x14ac:dyDescent="0.25">
      <c r="B42" s="88">
        <v>37</v>
      </c>
      <c r="C42" s="83" t="s">
        <v>3234</v>
      </c>
      <c r="D42" s="83" t="s">
        <v>3178</v>
      </c>
      <c r="E42" s="83" t="s">
        <v>3182</v>
      </c>
      <c r="F42" s="83" t="s">
        <v>3180</v>
      </c>
      <c r="G42" s="83" t="s">
        <v>3179</v>
      </c>
      <c r="H42" s="83" t="s">
        <v>3184</v>
      </c>
      <c r="I42" s="83" t="s">
        <v>3181</v>
      </c>
      <c r="J42" s="83" t="s">
        <v>3187</v>
      </c>
      <c r="K42" s="89" t="s">
        <v>3186</v>
      </c>
    </row>
    <row r="43" spans="2:11" x14ac:dyDescent="0.25">
      <c r="B43" s="88">
        <v>38</v>
      </c>
      <c r="C43" s="83" t="s">
        <v>3235</v>
      </c>
      <c r="D43" s="83" t="s">
        <v>3178</v>
      </c>
      <c r="E43" s="83" t="s">
        <v>3182</v>
      </c>
      <c r="F43" s="83" t="s">
        <v>3180</v>
      </c>
      <c r="G43" s="83" t="s">
        <v>3179</v>
      </c>
      <c r="H43" s="83" t="s">
        <v>3185</v>
      </c>
      <c r="I43" s="83" t="s">
        <v>3181</v>
      </c>
      <c r="J43" s="83" t="s">
        <v>3187</v>
      </c>
      <c r="K43" s="89" t="s">
        <v>3184</v>
      </c>
    </row>
    <row r="44" spans="2:11" x14ac:dyDescent="0.25">
      <c r="B44" s="88">
        <v>39</v>
      </c>
      <c r="C44" s="83" t="s">
        <v>3236</v>
      </c>
      <c r="D44" s="83" t="s">
        <v>3178</v>
      </c>
      <c r="E44" s="83" t="s">
        <v>3182</v>
      </c>
      <c r="F44" s="83" t="s">
        <v>3180</v>
      </c>
      <c r="G44" s="83" t="s">
        <v>3179</v>
      </c>
      <c r="H44" s="83" t="s">
        <v>3185</v>
      </c>
      <c r="I44" s="83" t="s">
        <v>3181</v>
      </c>
      <c r="J44" s="83" t="s">
        <v>3184</v>
      </c>
      <c r="K44" s="89" t="s">
        <v>3186</v>
      </c>
    </row>
    <row r="45" spans="2:11" x14ac:dyDescent="0.25">
      <c r="B45" s="88">
        <v>40</v>
      </c>
      <c r="C45" s="83" t="s">
        <v>3237</v>
      </c>
      <c r="D45" s="83" t="s">
        <v>3178</v>
      </c>
      <c r="E45" s="83" t="s">
        <v>3182</v>
      </c>
      <c r="F45" s="83" t="s">
        <v>3180</v>
      </c>
      <c r="G45" s="83" t="s">
        <v>3179</v>
      </c>
      <c r="H45" s="83" t="s">
        <v>3183</v>
      </c>
      <c r="I45" s="83" t="s">
        <v>3181</v>
      </c>
      <c r="J45" s="83" t="s">
        <v>3187</v>
      </c>
      <c r="K45" s="89" t="s">
        <v>3186</v>
      </c>
    </row>
    <row r="46" spans="2:11" x14ac:dyDescent="0.25">
      <c r="B46" s="88">
        <v>41</v>
      </c>
      <c r="C46" s="83" t="s">
        <v>3238</v>
      </c>
      <c r="D46" s="83" t="s">
        <v>3178</v>
      </c>
      <c r="E46" s="83" t="s">
        <v>3182</v>
      </c>
      <c r="F46" s="83" t="s">
        <v>3185</v>
      </c>
      <c r="G46" s="83" t="s">
        <v>3179</v>
      </c>
      <c r="H46" s="83" t="s">
        <v>3183</v>
      </c>
      <c r="I46" s="83" t="s">
        <v>3181</v>
      </c>
      <c r="J46" s="83" t="s">
        <v>3187</v>
      </c>
      <c r="K46" s="89" t="s">
        <v>3180</v>
      </c>
    </row>
    <row r="47" spans="2:11" x14ac:dyDescent="0.25">
      <c r="B47" s="88">
        <v>42</v>
      </c>
      <c r="C47" s="83" t="s">
        <v>3239</v>
      </c>
      <c r="D47" s="83" t="s">
        <v>3178</v>
      </c>
      <c r="E47" s="83" t="s">
        <v>3182</v>
      </c>
      <c r="F47" s="83" t="s">
        <v>3185</v>
      </c>
      <c r="G47" s="83" t="s">
        <v>3179</v>
      </c>
      <c r="H47" s="83" t="s">
        <v>3183</v>
      </c>
      <c r="I47" s="83" t="s">
        <v>3181</v>
      </c>
      <c r="J47" s="83" t="s">
        <v>3180</v>
      </c>
      <c r="K47" s="89" t="s">
        <v>3186</v>
      </c>
    </row>
    <row r="48" spans="2:11" x14ac:dyDescent="0.25">
      <c r="B48" s="88">
        <v>43</v>
      </c>
      <c r="C48" s="83" t="s">
        <v>3240</v>
      </c>
      <c r="D48" s="83" t="s">
        <v>3178</v>
      </c>
      <c r="E48" s="83" t="s">
        <v>3182</v>
      </c>
      <c r="F48" s="83" t="s">
        <v>3180</v>
      </c>
      <c r="G48" s="83" t="s">
        <v>3179</v>
      </c>
      <c r="H48" s="83" t="s">
        <v>3183</v>
      </c>
      <c r="I48" s="83" t="s">
        <v>3181</v>
      </c>
      <c r="J48" s="83" t="s">
        <v>3187</v>
      </c>
      <c r="K48" s="89" t="s">
        <v>3184</v>
      </c>
    </row>
    <row r="49" spans="2:11" x14ac:dyDescent="0.25">
      <c r="B49" s="88">
        <v>44</v>
      </c>
      <c r="C49" s="83" t="s">
        <v>3241</v>
      </c>
      <c r="D49" s="83" t="s">
        <v>3178</v>
      </c>
      <c r="E49" s="83" t="s">
        <v>3182</v>
      </c>
      <c r="F49" s="83" t="s">
        <v>3180</v>
      </c>
      <c r="G49" s="83" t="s">
        <v>3179</v>
      </c>
      <c r="H49" s="83" t="s">
        <v>3183</v>
      </c>
      <c r="I49" s="83" t="s">
        <v>3181</v>
      </c>
      <c r="J49" s="83" t="s">
        <v>3184</v>
      </c>
      <c r="K49" s="89" t="s">
        <v>3186</v>
      </c>
    </row>
    <row r="50" spans="2:11" x14ac:dyDescent="0.25">
      <c r="B50" s="88">
        <v>45</v>
      </c>
      <c r="C50" s="83" t="s">
        <v>3242</v>
      </c>
      <c r="D50" s="83" t="s">
        <v>3178</v>
      </c>
      <c r="E50" s="83" t="s">
        <v>3182</v>
      </c>
      <c r="F50" s="83" t="s">
        <v>3185</v>
      </c>
      <c r="G50" s="83" t="s">
        <v>3179</v>
      </c>
      <c r="H50" s="83" t="s">
        <v>3183</v>
      </c>
      <c r="I50" s="83" t="s">
        <v>3181</v>
      </c>
      <c r="J50" s="83" t="s">
        <v>3180</v>
      </c>
      <c r="K50" s="89" t="s">
        <v>3184</v>
      </c>
    </row>
    <row r="51" spans="2:11" x14ac:dyDescent="0.25">
      <c r="B51" s="88">
        <v>46</v>
      </c>
      <c r="C51" s="83" t="s">
        <v>3243</v>
      </c>
      <c r="D51" s="83" t="s">
        <v>3183</v>
      </c>
      <c r="E51" s="83" t="s">
        <v>3185</v>
      </c>
      <c r="F51" s="83" t="s">
        <v>3177</v>
      </c>
      <c r="G51" s="83" t="s">
        <v>3181</v>
      </c>
      <c r="H51" s="83" t="s">
        <v>3184</v>
      </c>
      <c r="I51" s="83" t="s">
        <v>3182</v>
      </c>
      <c r="J51" s="83" t="s">
        <v>3187</v>
      </c>
      <c r="K51" s="89" t="s">
        <v>3186</v>
      </c>
    </row>
    <row r="52" spans="2:11" x14ac:dyDescent="0.25">
      <c r="B52" s="88">
        <v>47</v>
      </c>
      <c r="C52" s="83" t="s">
        <v>3244</v>
      </c>
      <c r="D52" s="83" t="s">
        <v>3180</v>
      </c>
      <c r="E52" s="83" t="s">
        <v>3185</v>
      </c>
      <c r="F52" s="83" t="s">
        <v>3184</v>
      </c>
      <c r="G52" s="83" t="s">
        <v>3177</v>
      </c>
      <c r="H52" s="83" t="s">
        <v>3183</v>
      </c>
      <c r="I52" s="83" t="s">
        <v>3182</v>
      </c>
      <c r="J52" s="83" t="s">
        <v>3187</v>
      </c>
      <c r="K52" s="89" t="s">
        <v>3186</v>
      </c>
    </row>
    <row r="53" spans="2:11" x14ac:dyDescent="0.25">
      <c r="B53" s="88">
        <v>48</v>
      </c>
      <c r="C53" s="83" t="s">
        <v>3245</v>
      </c>
      <c r="D53" s="83" t="s">
        <v>3180</v>
      </c>
      <c r="E53" s="83" t="s">
        <v>3185</v>
      </c>
      <c r="F53" s="83" t="s">
        <v>3177</v>
      </c>
      <c r="G53" s="83" t="s">
        <v>3181</v>
      </c>
      <c r="H53" s="83" t="s">
        <v>3184</v>
      </c>
      <c r="I53" s="83" t="s">
        <v>3183</v>
      </c>
      <c r="J53" s="83" t="s">
        <v>3187</v>
      </c>
      <c r="K53" s="89" t="s">
        <v>3186</v>
      </c>
    </row>
    <row r="54" spans="2:11" x14ac:dyDescent="0.25">
      <c r="B54" s="88">
        <v>49</v>
      </c>
      <c r="C54" s="83" t="s">
        <v>3246</v>
      </c>
      <c r="D54" s="83" t="s">
        <v>3180</v>
      </c>
      <c r="E54" s="83" t="s">
        <v>3185</v>
      </c>
      <c r="F54" s="83" t="s">
        <v>3177</v>
      </c>
      <c r="G54" s="83" t="s">
        <v>3181</v>
      </c>
      <c r="H54" s="83" t="s">
        <v>3184</v>
      </c>
      <c r="I54" s="83" t="s">
        <v>3182</v>
      </c>
      <c r="J54" s="83" t="s">
        <v>3187</v>
      </c>
      <c r="K54" s="89" t="s">
        <v>3186</v>
      </c>
    </row>
    <row r="55" spans="2:11" x14ac:dyDescent="0.25">
      <c r="B55" s="88">
        <v>50</v>
      </c>
      <c r="C55" s="83" t="s">
        <v>3247</v>
      </c>
      <c r="D55" s="83" t="s">
        <v>3180</v>
      </c>
      <c r="E55" s="83" t="s">
        <v>3185</v>
      </c>
      <c r="F55" s="83" t="s">
        <v>3177</v>
      </c>
      <c r="G55" s="83" t="s">
        <v>3181</v>
      </c>
      <c r="H55" s="83" t="s">
        <v>3183</v>
      </c>
      <c r="I55" s="83" t="s">
        <v>3182</v>
      </c>
      <c r="J55" s="83" t="s">
        <v>3187</v>
      </c>
      <c r="K55" s="89" t="s">
        <v>3186</v>
      </c>
    </row>
    <row r="56" spans="2:11" x14ac:dyDescent="0.25">
      <c r="B56" s="88">
        <v>51</v>
      </c>
      <c r="C56" s="83" t="s">
        <v>3248</v>
      </c>
      <c r="D56" s="83" t="s">
        <v>3180</v>
      </c>
      <c r="E56" s="83" t="s">
        <v>3182</v>
      </c>
      <c r="F56" s="83" t="s">
        <v>3177</v>
      </c>
      <c r="G56" s="83" t="s">
        <v>3181</v>
      </c>
      <c r="H56" s="83" t="s">
        <v>3184</v>
      </c>
      <c r="I56" s="83" t="s">
        <v>3183</v>
      </c>
      <c r="J56" s="83" t="s">
        <v>3187</v>
      </c>
      <c r="K56" s="89" t="s">
        <v>3186</v>
      </c>
    </row>
    <row r="57" spans="2:11" x14ac:dyDescent="0.25">
      <c r="B57" s="88">
        <v>52</v>
      </c>
      <c r="C57" s="83" t="s">
        <v>3249</v>
      </c>
      <c r="D57" s="83" t="s">
        <v>3180</v>
      </c>
      <c r="E57" s="83" t="s">
        <v>3185</v>
      </c>
      <c r="F57" s="83" t="s">
        <v>3177</v>
      </c>
      <c r="G57" s="83" t="s">
        <v>3181</v>
      </c>
      <c r="H57" s="83" t="s">
        <v>3183</v>
      </c>
      <c r="I57" s="83" t="s">
        <v>3182</v>
      </c>
      <c r="J57" s="83" t="s">
        <v>3187</v>
      </c>
      <c r="K57" s="89" t="s">
        <v>3184</v>
      </c>
    </row>
    <row r="58" spans="2:11" x14ac:dyDescent="0.25">
      <c r="B58" s="88">
        <v>53</v>
      </c>
      <c r="C58" s="83" t="s">
        <v>3250</v>
      </c>
      <c r="D58" s="83" t="s">
        <v>3180</v>
      </c>
      <c r="E58" s="83" t="s">
        <v>3185</v>
      </c>
      <c r="F58" s="83" t="s">
        <v>3177</v>
      </c>
      <c r="G58" s="83" t="s">
        <v>3181</v>
      </c>
      <c r="H58" s="83" t="s">
        <v>3183</v>
      </c>
      <c r="I58" s="83" t="s">
        <v>3182</v>
      </c>
      <c r="J58" s="83" t="s">
        <v>3184</v>
      </c>
      <c r="K58" s="89" t="s">
        <v>3186</v>
      </c>
    </row>
    <row r="59" spans="2:11" x14ac:dyDescent="0.25">
      <c r="B59" s="88">
        <v>54</v>
      </c>
      <c r="C59" s="83" t="s">
        <v>3251</v>
      </c>
      <c r="D59" s="83" t="s">
        <v>3183</v>
      </c>
      <c r="E59" s="83" t="s">
        <v>3185</v>
      </c>
      <c r="F59" s="83" t="s">
        <v>3177</v>
      </c>
      <c r="G59" s="83" t="s">
        <v>3179</v>
      </c>
      <c r="H59" s="83" t="s">
        <v>3184</v>
      </c>
      <c r="I59" s="83" t="s">
        <v>3182</v>
      </c>
      <c r="J59" s="83" t="s">
        <v>3187</v>
      </c>
      <c r="K59" s="89" t="s">
        <v>3186</v>
      </c>
    </row>
    <row r="60" spans="2:11" x14ac:dyDescent="0.25">
      <c r="B60" s="88">
        <v>55</v>
      </c>
      <c r="C60" s="83" t="s">
        <v>3252</v>
      </c>
      <c r="D60" s="83" t="s">
        <v>3183</v>
      </c>
      <c r="E60" s="83" t="s">
        <v>3185</v>
      </c>
      <c r="F60" s="83" t="s">
        <v>3177</v>
      </c>
      <c r="G60" s="83" t="s">
        <v>3179</v>
      </c>
      <c r="H60" s="83" t="s">
        <v>3184</v>
      </c>
      <c r="I60" s="83" t="s">
        <v>3181</v>
      </c>
      <c r="J60" s="83" t="s">
        <v>3187</v>
      </c>
      <c r="K60" s="89" t="s">
        <v>3186</v>
      </c>
    </row>
    <row r="61" spans="2:11" x14ac:dyDescent="0.25">
      <c r="B61" s="88">
        <v>56</v>
      </c>
      <c r="C61" s="83" t="s">
        <v>3253</v>
      </c>
      <c r="D61" s="83" t="s">
        <v>3184</v>
      </c>
      <c r="E61" s="83" t="s">
        <v>3182</v>
      </c>
      <c r="F61" s="83" t="s">
        <v>3177</v>
      </c>
      <c r="G61" s="83" t="s">
        <v>3179</v>
      </c>
      <c r="H61" s="83" t="s">
        <v>3185</v>
      </c>
      <c r="I61" s="83" t="s">
        <v>3181</v>
      </c>
      <c r="J61" s="83" t="s">
        <v>3187</v>
      </c>
      <c r="K61" s="89" t="s">
        <v>3186</v>
      </c>
    </row>
    <row r="62" spans="2:11" x14ac:dyDescent="0.25">
      <c r="B62" s="88">
        <v>57</v>
      </c>
      <c r="C62" s="83" t="s">
        <v>3254</v>
      </c>
      <c r="D62" s="83" t="s">
        <v>3183</v>
      </c>
      <c r="E62" s="83" t="s">
        <v>3182</v>
      </c>
      <c r="F62" s="83" t="s">
        <v>3177</v>
      </c>
      <c r="G62" s="83" t="s">
        <v>3179</v>
      </c>
      <c r="H62" s="83" t="s">
        <v>3185</v>
      </c>
      <c r="I62" s="83" t="s">
        <v>3181</v>
      </c>
      <c r="J62" s="83" t="s">
        <v>3187</v>
      </c>
      <c r="K62" s="89" t="s">
        <v>3186</v>
      </c>
    </row>
    <row r="63" spans="2:11" x14ac:dyDescent="0.25">
      <c r="B63" s="88">
        <v>58</v>
      </c>
      <c r="C63" s="83" t="s">
        <v>3255</v>
      </c>
      <c r="D63" s="83" t="s">
        <v>3183</v>
      </c>
      <c r="E63" s="83" t="s">
        <v>3182</v>
      </c>
      <c r="F63" s="83" t="s">
        <v>3177</v>
      </c>
      <c r="G63" s="83" t="s">
        <v>3179</v>
      </c>
      <c r="H63" s="83" t="s">
        <v>3184</v>
      </c>
      <c r="I63" s="83" t="s">
        <v>3181</v>
      </c>
      <c r="J63" s="83" t="s">
        <v>3187</v>
      </c>
      <c r="K63" s="89" t="s">
        <v>3186</v>
      </c>
    </row>
    <row r="64" spans="2:11" x14ac:dyDescent="0.25">
      <c r="B64" s="88">
        <v>59</v>
      </c>
      <c r="C64" s="83" t="s">
        <v>3256</v>
      </c>
      <c r="D64" s="83" t="s">
        <v>3183</v>
      </c>
      <c r="E64" s="83" t="s">
        <v>3182</v>
      </c>
      <c r="F64" s="83" t="s">
        <v>3177</v>
      </c>
      <c r="G64" s="83" t="s">
        <v>3179</v>
      </c>
      <c r="H64" s="83" t="s">
        <v>3185</v>
      </c>
      <c r="I64" s="83" t="s">
        <v>3181</v>
      </c>
      <c r="J64" s="83" t="s">
        <v>3187</v>
      </c>
      <c r="K64" s="89" t="s">
        <v>3184</v>
      </c>
    </row>
    <row r="65" spans="2:11" x14ac:dyDescent="0.25">
      <c r="B65" s="88">
        <v>60</v>
      </c>
      <c r="C65" s="83" t="s">
        <v>3257</v>
      </c>
      <c r="D65" s="83" t="s">
        <v>3183</v>
      </c>
      <c r="E65" s="83" t="s">
        <v>3182</v>
      </c>
      <c r="F65" s="83" t="s">
        <v>3177</v>
      </c>
      <c r="G65" s="83" t="s">
        <v>3179</v>
      </c>
      <c r="H65" s="83" t="s">
        <v>3185</v>
      </c>
      <c r="I65" s="83" t="s">
        <v>3181</v>
      </c>
      <c r="J65" s="83" t="s">
        <v>3184</v>
      </c>
      <c r="K65" s="89" t="s">
        <v>3186</v>
      </c>
    </row>
    <row r="66" spans="2:11" x14ac:dyDescent="0.25">
      <c r="B66" s="88">
        <v>61</v>
      </c>
      <c r="C66" s="83" t="s">
        <v>3258</v>
      </c>
      <c r="D66" s="83" t="s">
        <v>3180</v>
      </c>
      <c r="E66" s="83" t="s">
        <v>3185</v>
      </c>
      <c r="F66" s="83" t="s">
        <v>3177</v>
      </c>
      <c r="G66" s="83" t="s">
        <v>3179</v>
      </c>
      <c r="H66" s="83" t="s">
        <v>3184</v>
      </c>
      <c r="I66" s="83" t="s">
        <v>3183</v>
      </c>
      <c r="J66" s="83" t="s">
        <v>3187</v>
      </c>
      <c r="K66" s="89" t="s">
        <v>3186</v>
      </c>
    </row>
    <row r="67" spans="2:11" x14ac:dyDescent="0.25">
      <c r="B67" s="88">
        <v>62</v>
      </c>
      <c r="C67" s="83" t="s">
        <v>3259</v>
      </c>
      <c r="D67" s="83" t="s">
        <v>3180</v>
      </c>
      <c r="E67" s="83" t="s">
        <v>3185</v>
      </c>
      <c r="F67" s="83" t="s">
        <v>3177</v>
      </c>
      <c r="G67" s="83" t="s">
        <v>3179</v>
      </c>
      <c r="H67" s="83" t="s">
        <v>3184</v>
      </c>
      <c r="I67" s="83" t="s">
        <v>3182</v>
      </c>
      <c r="J67" s="83" t="s">
        <v>3187</v>
      </c>
      <c r="K67" s="89" t="s">
        <v>3186</v>
      </c>
    </row>
    <row r="68" spans="2:11" x14ac:dyDescent="0.25">
      <c r="B68" s="88">
        <v>63</v>
      </c>
      <c r="C68" s="83" t="s">
        <v>3260</v>
      </c>
      <c r="D68" s="83" t="s">
        <v>3180</v>
      </c>
      <c r="E68" s="83" t="s">
        <v>3185</v>
      </c>
      <c r="F68" s="83" t="s">
        <v>3177</v>
      </c>
      <c r="G68" s="83" t="s">
        <v>3179</v>
      </c>
      <c r="H68" s="83" t="s">
        <v>3183</v>
      </c>
      <c r="I68" s="83" t="s">
        <v>3182</v>
      </c>
      <c r="J68" s="83" t="s">
        <v>3187</v>
      </c>
      <c r="K68" s="89" t="s">
        <v>3186</v>
      </c>
    </row>
    <row r="69" spans="2:11" x14ac:dyDescent="0.25">
      <c r="B69" s="88">
        <v>64</v>
      </c>
      <c r="C69" s="83" t="s">
        <v>3261</v>
      </c>
      <c r="D69" s="83" t="s">
        <v>3180</v>
      </c>
      <c r="E69" s="83" t="s">
        <v>3182</v>
      </c>
      <c r="F69" s="83" t="s">
        <v>3177</v>
      </c>
      <c r="G69" s="83" t="s">
        <v>3179</v>
      </c>
      <c r="H69" s="83" t="s">
        <v>3184</v>
      </c>
      <c r="I69" s="83" t="s">
        <v>3183</v>
      </c>
      <c r="J69" s="83" t="s">
        <v>3187</v>
      </c>
      <c r="K69" s="89" t="s">
        <v>3186</v>
      </c>
    </row>
    <row r="70" spans="2:11" x14ac:dyDescent="0.25">
      <c r="B70" s="88">
        <v>65</v>
      </c>
      <c r="C70" s="83" t="s">
        <v>3262</v>
      </c>
      <c r="D70" s="83" t="s">
        <v>3180</v>
      </c>
      <c r="E70" s="83" t="s">
        <v>3185</v>
      </c>
      <c r="F70" s="83" t="s">
        <v>3177</v>
      </c>
      <c r="G70" s="83" t="s">
        <v>3179</v>
      </c>
      <c r="H70" s="83" t="s">
        <v>3183</v>
      </c>
      <c r="I70" s="83" t="s">
        <v>3182</v>
      </c>
      <c r="J70" s="83" t="s">
        <v>3187</v>
      </c>
      <c r="K70" s="89" t="s">
        <v>3184</v>
      </c>
    </row>
    <row r="71" spans="2:11" x14ac:dyDescent="0.25">
      <c r="B71" s="88">
        <v>66</v>
      </c>
      <c r="C71" s="83" t="s">
        <v>3263</v>
      </c>
      <c r="D71" s="83" t="s">
        <v>3180</v>
      </c>
      <c r="E71" s="83" t="s">
        <v>3185</v>
      </c>
      <c r="F71" s="83" t="s">
        <v>3177</v>
      </c>
      <c r="G71" s="83" t="s">
        <v>3179</v>
      </c>
      <c r="H71" s="83" t="s">
        <v>3183</v>
      </c>
      <c r="I71" s="83" t="s">
        <v>3182</v>
      </c>
      <c r="J71" s="83" t="s">
        <v>3184</v>
      </c>
      <c r="K71" s="89" t="s">
        <v>3186</v>
      </c>
    </row>
    <row r="72" spans="2:11" x14ac:dyDescent="0.25">
      <c r="B72" s="88">
        <v>67</v>
      </c>
      <c r="C72" s="83" t="s">
        <v>3264</v>
      </c>
      <c r="D72" s="83" t="s">
        <v>3180</v>
      </c>
      <c r="E72" s="83" t="s">
        <v>3185</v>
      </c>
      <c r="F72" s="83" t="s">
        <v>3177</v>
      </c>
      <c r="G72" s="83" t="s">
        <v>3179</v>
      </c>
      <c r="H72" s="83" t="s">
        <v>3184</v>
      </c>
      <c r="I72" s="83" t="s">
        <v>3181</v>
      </c>
      <c r="J72" s="83" t="s">
        <v>3187</v>
      </c>
      <c r="K72" s="89" t="s">
        <v>3186</v>
      </c>
    </row>
    <row r="73" spans="2:11" x14ac:dyDescent="0.25">
      <c r="B73" s="88">
        <v>68</v>
      </c>
      <c r="C73" s="83" t="s">
        <v>3265</v>
      </c>
      <c r="D73" s="83" t="s">
        <v>3180</v>
      </c>
      <c r="E73" s="83" t="s">
        <v>3185</v>
      </c>
      <c r="F73" s="83" t="s">
        <v>3177</v>
      </c>
      <c r="G73" s="83" t="s">
        <v>3179</v>
      </c>
      <c r="H73" s="83" t="s">
        <v>3183</v>
      </c>
      <c r="I73" s="83" t="s">
        <v>3181</v>
      </c>
      <c r="J73" s="83" t="s">
        <v>3187</v>
      </c>
      <c r="K73" s="89" t="s">
        <v>3186</v>
      </c>
    </row>
    <row r="74" spans="2:11" x14ac:dyDescent="0.25">
      <c r="B74" s="88">
        <v>69</v>
      </c>
      <c r="C74" s="83" t="s">
        <v>3266</v>
      </c>
      <c r="D74" s="83" t="s">
        <v>3180</v>
      </c>
      <c r="E74" s="83" t="s">
        <v>3184</v>
      </c>
      <c r="F74" s="83" t="s">
        <v>3177</v>
      </c>
      <c r="G74" s="83" t="s">
        <v>3179</v>
      </c>
      <c r="H74" s="83" t="s">
        <v>3183</v>
      </c>
      <c r="I74" s="83" t="s">
        <v>3181</v>
      </c>
      <c r="J74" s="83" t="s">
        <v>3187</v>
      </c>
      <c r="K74" s="89" t="s">
        <v>3186</v>
      </c>
    </row>
    <row r="75" spans="2:11" x14ac:dyDescent="0.25">
      <c r="B75" s="88">
        <v>70</v>
      </c>
      <c r="C75" s="83" t="s">
        <v>3267</v>
      </c>
      <c r="D75" s="83" t="s">
        <v>3180</v>
      </c>
      <c r="E75" s="83" t="s">
        <v>3185</v>
      </c>
      <c r="F75" s="83" t="s">
        <v>3177</v>
      </c>
      <c r="G75" s="83" t="s">
        <v>3179</v>
      </c>
      <c r="H75" s="83" t="s">
        <v>3183</v>
      </c>
      <c r="I75" s="83" t="s">
        <v>3181</v>
      </c>
      <c r="J75" s="83" t="s">
        <v>3187</v>
      </c>
      <c r="K75" s="89" t="s">
        <v>3184</v>
      </c>
    </row>
    <row r="76" spans="2:11" x14ac:dyDescent="0.25">
      <c r="B76" s="88">
        <v>71</v>
      </c>
      <c r="C76" s="83" t="s">
        <v>3268</v>
      </c>
      <c r="D76" s="83" t="s">
        <v>3180</v>
      </c>
      <c r="E76" s="83" t="s">
        <v>3185</v>
      </c>
      <c r="F76" s="83" t="s">
        <v>3177</v>
      </c>
      <c r="G76" s="83" t="s">
        <v>3179</v>
      </c>
      <c r="H76" s="83" t="s">
        <v>3183</v>
      </c>
      <c r="I76" s="83" t="s">
        <v>3181</v>
      </c>
      <c r="J76" s="83" t="s">
        <v>3184</v>
      </c>
      <c r="K76" s="89" t="s">
        <v>3186</v>
      </c>
    </row>
    <row r="77" spans="2:11" x14ac:dyDescent="0.25">
      <c r="B77" s="88">
        <v>72</v>
      </c>
      <c r="C77" s="83" t="s">
        <v>3269</v>
      </c>
      <c r="D77" s="83" t="s">
        <v>3180</v>
      </c>
      <c r="E77" s="83" t="s">
        <v>3182</v>
      </c>
      <c r="F77" s="83" t="s">
        <v>3177</v>
      </c>
      <c r="G77" s="83" t="s">
        <v>3179</v>
      </c>
      <c r="H77" s="83" t="s">
        <v>3185</v>
      </c>
      <c r="I77" s="83" t="s">
        <v>3181</v>
      </c>
      <c r="J77" s="83" t="s">
        <v>3187</v>
      </c>
      <c r="K77" s="89" t="s">
        <v>3186</v>
      </c>
    </row>
    <row r="78" spans="2:11" x14ac:dyDescent="0.25">
      <c r="B78" s="88">
        <v>73</v>
      </c>
      <c r="C78" s="83" t="s">
        <v>3270</v>
      </c>
      <c r="D78" s="83" t="s">
        <v>3180</v>
      </c>
      <c r="E78" s="83" t="s">
        <v>3182</v>
      </c>
      <c r="F78" s="83" t="s">
        <v>3177</v>
      </c>
      <c r="G78" s="83" t="s">
        <v>3179</v>
      </c>
      <c r="H78" s="83" t="s">
        <v>3184</v>
      </c>
      <c r="I78" s="83" t="s">
        <v>3181</v>
      </c>
      <c r="J78" s="83" t="s">
        <v>3187</v>
      </c>
      <c r="K78" s="89" t="s">
        <v>3186</v>
      </c>
    </row>
    <row r="79" spans="2:11" x14ac:dyDescent="0.25">
      <c r="B79" s="88">
        <v>74</v>
      </c>
      <c r="C79" s="83" t="s">
        <v>3271</v>
      </c>
      <c r="D79" s="83" t="s">
        <v>3180</v>
      </c>
      <c r="E79" s="83" t="s">
        <v>3182</v>
      </c>
      <c r="F79" s="83" t="s">
        <v>3177</v>
      </c>
      <c r="G79" s="83" t="s">
        <v>3179</v>
      </c>
      <c r="H79" s="83" t="s">
        <v>3185</v>
      </c>
      <c r="I79" s="83" t="s">
        <v>3181</v>
      </c>
      <c r="J79" s="83" t="s">
        <v>3187</v>
      </c>
      <c r="K79" s="89" t="s">
        <v>3184</v>
      </c>
    </row>
    <row r="80" spans="2:11" x14ac:dyDescent="0.25">
      <c r="B80" s="88">
        <v>75</v>
      </c>
      <c r="C80" s="83" t="s">
        <v>3272</v>
      </c>
      <c r="D80" s="83" t="s">
        <v>3180</v>
      </c>
      <c r="E80" s="83" t="s">
        <v>3182</v>
      </c>
      <c r="F80" s="83" t="s">
        <v>3177</v>
      </c>
      <c r="G80" s="83" t="s">
        <v>3179</v>
      </c>
      <c r="H80" s="83" t="s">
        <v>3185</v>
      </c>
      <c r="I80" s="83" t="s">
        <v>3181</v>
      </c>
      <c r="J80" s="83" t="s">
        <v>3184</v>
      </c>
      <c r="K80" s="89" t="s">
        <v>3186</v>
      </c>
    </row>
    <row r="81" spans="2:11" x14ac:dyDescent="0.25">
      <c r="B81" s="88">
        <v>76</v>
      </c>
      <c r="C81" s="83" t="s">
        <v>3273</v>
      </c>
      <c r="D81" s="83" t="s">
        <v>3180</v>
      </c>
      <c r="E81" s="83" t="s">
        <v>3182</v>
      </c>
      <c r="F81" s="83" t="s">
        <v>3177</v>
      </c>
      <c r="G81" s="83" t="s">
        <v>3179</v>
      </c>
      <c r="H81" s="83" t="s">
        <v>3183</v>
      </c>
      <c r="I81" s="83" t="s">
        <v>3181</v>
      </c>
      <c r="J81" s="83" t="s">
        <v>3187</v>
      </c>
      <c r="K81" s="89" t="s">
        <v>3186</v>
      </c>
    </row>
    <row r="82" spans="2:11" x14ac:dyDescent="0.25">
      <c r="B82" s="88">
        <v>77</v>
      </c>
      <c r="C82" s="83" t="s">
        <v>3274</v>
      </c>
      <c r="D82" s="83" t="s">
        <v>3183</v>
      </c>
      <c r="E82" s="83" t="s">
        <v>3182</v>
      </c>
      <c r="F82" s="83" t="s">
        <v>3177</v>
      </c>
      <c r="G82" s="83" t="s">
        <v>3179</v>
      </c>
      <c r="H82" s="83" t="s">
        <v>3185</v>
      </c>
      <c r="I82" s="83" t="s">
        <v>3181</v>
      </c>
      <c r="J82" s="83" t="s">
        <v>3187</v>
      </c>
      <c r="K82" s="89" t="s">
        <v>3180</v>
      </c>
    </row>
    <row r="83" spans="2:11" x14ac:dyDescent="0.25">
      <c r="B83" s="88">
        <v>78</v>
      </c>
      <c r="C83" s="83" t="s">
        <v>3275</v>
      </c>
      <c r="D83" s="83" t="s">
        <v>3183</v>
      </c>
      <c r="E83" s="83" t="s">
        <v>3182</v>
      </c>
      <c r="F83" s="83" t="s">
        <v>3177</v>
      </c>
      <c r="G83" s="83" t="s">
        <v>3179</v>
      </c>
      <c r="H83" s="83" t="s">
        <v>3185</v>
      </c>
      <c r="I83" s="83" t="s">
        <v>3181</v>
      </c>
      <c r="J83" s="83" t="s">
        <v>3180</v>
      </c>
      <c r="K83" s="89" t="s">
        <v>3186</v>
      </c>
    </row>
    <row r="84" spans="2:11" x14ac:dyDescent="0.25">
      <c r="B84" s="88">
        <v>79</v>
      </c>
      <c r="C84" s="83" t="s">
        <v>3276</v>
      </c>
      <c r="D84" s="83" t="s">
        <v>3180</v>
      </c>
      <c r="E84" s="83" t="s">
        <v>3182</v>
      </c>
      <c r="F84" s="83" t="s">
        <v>3177</v>
      </c>
      <c r="G84" s="83" t="s">
        <v>3179</v>
      </c>
      <c r="H84" s="83" t="s">
        <v>3183</v>
      </c>
      <c r="I84" s="83" t="s">
        <v>3181</v>
      </c>
      <c r="J84" s="83" t="s">
        <v>3187</v>
      </c>
      <c r="K84" s="89" t="s">
        <v>3184</v>
      </c>
    </row>
    <row r="85" spans="2:11" x14ac:dyDescent="0.25">
      <c r="B85" s="88">
        <v>80</v>
      </c>
      <c r="C85" s="83" t="s">
        <v>3277</v>
      </c>
      <c r="D85" s="83" t="s">
        <v>3180</v>
      </c>
      <c r="E85" s="83" t="s">
        <v>3182</v>
      </c>
      <c r="F85" s="83" t="s">
        <v>3177</v>
      </c>
      <c r="G85" s="83" t="s">
        <v>3179</v>
      </c>
      <c r="H85" s="83" t="s">
        <v>3183</v>
      </c>
      <c r="I85" s="83" t="s">
        <v>3181</v>
      </c>
      <c r="J85" s="83" t="s">
        <v>3184</v>
      </c>
      <c r="K85" s="89" t="s">
        <v>3186</v>
      </c>
    </row>
    <row r="86" spans="2:11" x14ac:dyDescent="0.25">
      <c r="B86" s="88">
        <v>81</v>
      </c>
      <c r="C86" s="83" t="s">
        <v>3278</v>
      </c>
      <c r="D86" s="83" t="s">
        <v>3183</v>
      </c>
      <c r="E86" s="83" t="s">
        <v>3182</v>
      </c>
      <c r="F86" s="83" t="s">
        <v>3177</v>
      </c>
      <c r="G86" s="83" t="s">
        <v>3179</v>
      </c>
      <c r="H86" s="83" t="s">
        <v>3185</v>
      </c>
      <c r="I86" s="83" t="s">
        <v>3181</v>
      </c>
      <c r="J86" s="83" t="s">
        <v>3180</v>
      </c>
      <c r="K86" s="89" t="s">
        <v>3184</v>
      </c>
    </row>
    <row r="87" spans="2:11" x14ac:dyDescent="0.25">
      <c r="B87" s="88">
        <v>82</v>
      </c>
      <c r="C87" s="83" t="s">
        <v>3279</v>
      </c>
      <c r="D87" s="83" t="s">
        <v>3183</v>
      </c>
      <c r="E87" s="83" t="s">
        <v>3185</v>
      </c>
      <c r="F87" s="83" t="s">
        <v>3177</v>
      </c>
      <c r="G87" s="83" t="s">
        <v>3178</v>
      </c>
      <c r="H87" s="83" t="s">
        <v>3184</v>
      </c>
      <c r="I87" s="83" t="s">
        <v>3182</v>
      </c>
      <c r="J87" s="83" t="s">
        <v>3187</v>
      </c>
      <c r="K87" s="89" t="s">
        <v>3186</v>
      </c>
    </row>
    <row r="88" spans="2:11" x14ac:dyDescent="0.25">
      <c r="B88" s="88">
        <v>83</v>
      </c>
      <c r="C88" s="83" t="s">
        <v>3280</v>
      </c>
      <c r="D88" s="83" t="s">
        <v>3183</v>
      </c>
      <c r="E88" s="83" t="s">
        <v>3185</v>
      </c>
      <c r="F88" s="83" t="s">
        <v>3177</v>
      </c>
      <c r="G88" s="83" t="s">
        <v>3178</v>
      </c>
      <c r="H88" s="83" t="s">
        <v>3184</v>
      </c>
      <c r="I88" s="83" t="s">
        <v>3181</v>
      </c>
      <c r="J88" s="83" t="s">
        <v>3187</v>
      </c>
      <c r="K88" s="89" t="s">
        <v>3186</v>
      </c>
    </row>
    <row r="89" spans="2:11" x14ac:dyDescent="0.25">
      <c r="B89" s="88">
        <v>84</v>
      </c>
      <c r="C89" s="83" t="s">
        <v>3281</v>
      </c>
      <c r="D89" s="83" t="s">
        <v>3184</v>
      </c>
      <c r="E89" s="83" t="s">
        <v>3182</v>
      </c>
      <c r="F89" s="83" t="s">
        <v>3177</v>
      </c>
      <c r="G89" s="83" t="s">
        <v>3178</v>
      </c>
      <c r="H89" s="83" t="s">
        <v>3185</v>
      </c>
      <c r="I89" s="83" t="s">
        <v>3181</v>
      </c>
      <c r="J89" s="83" t="s">
        <v>3187</v>
      </c>
      <c r="K89" s="89" t="s">
        <v>3186</v>
      </c>
    </row>
    <row r="90" spans="2:11" x14ac:dyDescent="0.25">
      <c r="B90" s="88">
        <v>85</v>
      </c>
      <c r="C90" s="83" t="s">
        <v>3282</v>
      </c>
      <c r="D90" s="83" t="s">
        <v>3183</v>
      </c>
      <c r="E90" s="83" t="s">
        <v>3182</v>
      </c>
      <c r="F90" s="83" t="s">
        <v>3177</v>
      </c>
      <c r="G90" s="83" t="s">
        <v>3178</v>
      </c>
      <c r="H90" s="83" t="s">
        <v>3185</v>
      </c>
      <c r="I90" s="83" t="s">
        <v>3181</v>
      </c>
      <c r="J90" s="83" t="s">
        <v>3187</v>
      </c>
      <c r="K90" s="89" t="s">
        <v>3186</v>
      </c>
    </row>
    <row r="91" spans="2:11" x14ac:dyDescent="0.25">
      <c r="B91" s="88">
        <v>86</v>
      </c>
      <c r="C91" s="83" t="s">
        <v>3283</v>
      </c>
      <c r="D91" s="83" t="s">
        <v>3183</v>
      </c>
      <c r="E91" s="83" t="s">
        <v>3182</v>
      </c>
      <c r="F91" s="83" t="s">
        <v>3177</v>
      </c>
      <c r="G91" s="83" t="s">
        <v>3178</v>
      </c>
      <c r="H91" s="83" t="s">
        <v>3184</v>
      </c>
      <c r="I91" s="83" t="s">
        <v>3181</v>
      </c>
      <c r="J91" s="83" t="s">
        <v>3187</v>
      </c>
      <c r="K91" s="89" t="s">
        <v>3186</v>
      </c>
    </row>
    <row r="92" spans="2:11" x14ac:dyDescent="0.25">
      <c r="B92" s="88">
        <v>87</v>
      </c>
      <c r="C92" s="83" t="s">
        <v>3284</v>
      </c>
      <c r="D92" s="83" t="s">
        <v>3183</v>
      </c>
      <c r="E92" s="83" t="s">
        <v>3182</v>
      </c>
      <c r="F92" s="83" t="s">
        <v>3177</v>
      </c>
      <c r="G92" s="83" t="s">
        <v>3178</v>
      </c>
      <c r="H92" s="83" t="s">
        <v>3185</v>
      </c>
      <c r="I92" s="83" t="s">
        <v>3181</v>
      </c>
      <c r="J92" s="83" t="s">
        <v>3187</v>
      </c>
      <c r="K92" s="89" t="s">
        <v>3184</v>
      </c>
    </row>
    <row r="93" spans="2:11" x14ac:dyDescent="0.25">
      <c r="B93" s="88">
        <v>88</v>
      </c>
      <c r="C93" s="83" t="s">
        <v>3285</v>
      </c>
      <c r="D93" s="83" t="s">
        <v>3183</v>
      </c>
      <c r="E93" s="83" t="s">
        <v>3182</v>
      </c>
      <c r="F93" s="83" t="s">
        <v>3177</v>
      </c>
      <c r="G93" s="83" t="s">
        <v>3178</v>
      </c>
      <c r="H93" s="83" t="s">
        <v>3185</v>
      </c>
      <c r="I93" s="83" t="s">
        <v>3181</v>
      </c>
      <c r="J93" s="83" t="s">
        <v>3184</v>
      </c>
      <c r="K93" s="89" t="s">
        <v>3186</v>
      </c>
    </row>
    <row r="94" spans="2:11" x14ac:dyDescent="0.25">
      <c r="B94" s="88">
        <v>89</v>
      </c>
      <c r="C94" s="83" t="s">
        <v>3286</v>
      </c>
      <c r="D94" s="83" t="s">
        <v>3180</v>
      </c>
      <c r="E94" s="83" t="s">
        <v>3185</v>
      </c>
      <c r="F94" s="83" t="s">
        <v>3177</v>
      </c>
      <c r="G94" s="83" t="s">
        <v>3178</v>
      </c>
      <c r="H94" s="83" t="s">
        <v>3184</v>
      </c>
      <c r="I94" s="83" t="s">
        <v>3183</v>
      </c>
      <c r="J94" s="83" t="s">
        <v>3187</v>
      </c>
      <c r="K94" s="89" t="s">
        <v>3186</v>
      </c>
    </row>
    <row r="95" spans="2:11" x14ac:dyDescent="0.25">
      <c r="B95" s="88">
        <v>90</v>
      </c>
      <c r="C95" s="83" t="s">
        <v>3287</v>
      </c>
      <c r="D95" s="83" t="s">
        <v>3180</v>
      </c>
      <c r="E95" s="83" t="s">
        <v>3185</v>
      </c>
      <c r="F95" s="83" t="s">
        <v>3177</v>
      </c>
      <c r="G95" s="83" t="s">
        <v>3178</v>
      </c>
      <c r="H95" s="83" t="s">
        <v>3184</v>
      </c>
      <c r="I95" s="83" t="s">
        <v>3182</v>
      </c>
      <c r="J95" s="83" t="s">
        <v>3187</v>
      </c>
      <c r="K95" s="89" t="s">
        <v>3186</v>
      </c>
    </row>
    <row r="96" spans="2:11" x14ac:dyDescent="0.25">
      <c r="B96" s="88">
        <v>91</v>
      </c>
      <c r="C96" s="83" t="s">
        <v>3288</v>
      </c>
      <c r="D96" s="83" t="s">
        <v>3180</v>
      </c>
      <c r="E96" s="83" t="s">
        <v>3185</v>
      </c>
      <c r="F96" s="83" t="s">
        <v>3177</v>
      </c>
      <c r="G96" s="83" t="s">
        <v>3178</v>
      </c>
      <c r="H96" s="83" t="s">
        <v>3183</v>
      </c>
      <c r="I96" s="83" t="s">
        <v>3182</v>
      </c>
      <c r="J96" s="83" t="s">
        <v>3187</v>
      </c>
      <c r="K96" s="89" t="s">
        <v>3186</v>
      </c>
    </row>
    <row r="97" spans="2:11" x14ac:dyDescent="0.25">
      <c r="B97" s="88">
        <v>92</v>
      </c>
      <c r="C97" s="83" t="s">
        <v>3289</v>
      </c>
      <c r="D97" s="83" t="s">
        <v>3180</v>
      </c>
      <c r="E97" s="83" t="s">
        <v>3182</v>
      </c>
      <c r="F97" s="83" t="s">
        <v>3177</v>
      </c>
      <c r="G97" s="83" t="s">
        <v>3178</v>
      </c>
      <c r="H97" s="83" t="s">
        <v>3184</v>
      </c>
      <c r="I97" s="83" t="s">
        <v>3183</v>
      </c>
      <c r="J97" s="83" t="s">
        <v>3187</v>
      </c>
      <c r="K97" s="89" t="s">
        <v>3186</v>
      </c>
    </row>
    <row r="98" spans="2:11" x14ac:dyDescent="0.25">
      <c r="B98" s="88">
        <v>93</v>
      </c>
      <c r="C98" s="83" t="s">
        <v>3290</v>
      </c>
      <c r="D98" s="83" t="s">
        <v>3180</v>
      </c>
      <c r="E98" s="83" t="s">
        <v>3185</v>
      </c>
      <c r="F98" s="83" t="s">
        <v>3177</v>
      </c>
      <c r="G98" s="83" t="s">
        <v>3178</v>
      </c>
      <c r="H98" s="83" t="s">
        <v>3183</v>
      </c>
      <c r="I98" s="83" t="s">
        <v>3182</v>
      </c>
      <c r="J98" s="83" t="s">
        <v>3187</v>
      </c>
      <c r="K98" s="89" t="s">
        <v>3184</v>
      </c>
    </row>
    <row r="99" spans="2:11" x14ac:dyDescent="0.25">
      <c r="B99" s="88">
        <v>94</v>
      </c>
      <c r="C99" s="83" t="s">
        <v>3291</v>
      </c>
      <c r="D99" s="83" t="s">
        <v>3180</v>
      </c>
      <c r="E99" s="83" t="s">
        <v>3185</v>
      </c>
      <c r="F99" s="83" t="s">
        <v>3177</v>
      </c>
      <c r="G99" s="83" t="s">
        <v>3178</v>
      </c>
      <c r="H99" s="83" t="s">
        <v>3183</v>
      </c>
      <c r="I99" s="83" t="s">
        <v>3182</v>
      </c>
      <c r="J99" s="83" t="s">
        <v>3184</v>
      </c>
      <c r="K99" s="89" t="s">
        <v>3186</v>
      </c>
    </row>
    <row r="100" spans="2:11" x14ac:dyDescent="0.25">
      <c r="B100" s="88">
        <v>95</v>
      </c>
      <c r="C100" s="83" t="s">
        <v>3292</v>
      </c>
      <c r="D100" s="83" t="s">
        <v>3180</v>
      </c>
      <c r="E100" s="83" t="s">
        <v>3185</v>
      </c>
      <c r="F100" s="83" t="s">
        <v>3177</v>
      </c>
      <c r="G100" s="83" t="s">
        <v>3178</v>
      </c>
      <c r="H100" s="83" t="s">
        <v>3184</v>
      </c>
      <c r="I100" s="83" t="s">
        <v>3181</v>
      </c>
      <c r="J100" s="83" t="s">
        <v>3187</v>
      </c>
      <c r="K100" s="89" t="s">
        <v>3186</v>
      </c>
    </row>
    <row r="101" spans="2:11" x14ac:dyDescent="0.25">
      <c r="B101" s="88">
        <v>96</v>
      </c>
      <c r="C101" s="83" t="s">
        <v>3293</v>
      </c>
      <c r="D101" s="83" t="s">
        <v>3180</v>
      </c>
      <c r="E101" s="83" t="s">
        <v>3185</v>
      </c>
      <c r="F101" s="83" t="s">
        <v>3177</v>
      </c>
      <c r="G101" s="83" t="s">
        <v>3178</v>
      </c>
      <c r="H101" s="83" t="s">
        <v>3183</v>
      </c>
      <c r="I101" s="83" t="s">
        <v>3181</v>
      </c>
      <c r="J101" s="83" t="s">
        <v>3187</v>
      </c>
      <c r="K101" s="89" t="s">
        <v>3186</v>
      </c>
    </row>
    <row r="102" spans="2:11" x14ac:dyDescent="0.25">
      <c r="B102" s="88">
        <v>97</v>
      </c>
      <c r="C102" s="83" t="s">
        <v>3294</v>
      </c>
      <c r="D102" s="83" t="s">
        <v>3180</v>
      </c>
      <c r="E102" s="83" t="s">
        <v>3184</v>
      </c>
      <c r="F102" s="83" t="s">
        <v>3177</v>
      </c>
      <c r="G102" s="83" t="s">
        <v>3178</v>
      </c>
      <c r="H102" s="83" t="s">
        <v>3183</v>
      </c>
      <c r="I102" s="83" t="s">
        <v>3181</v>
      </c>
      <c r="J102" s="83" t="s">
        <v>3187</v>
      </c>
      <c r="K102" s="89" t="s">
        <v>3186</v>
      </c>
    </row>
    <row r="103" spans="2:11" x14ac:dyDescent="0.25">
      <c r="B103" s="88">
        <v>98</v>
      </c>
      <c r="C103" s="83" t="s">
        <v>3295</v>
      </c>
      <c r="D103" s="83" t="s">
        <v>3180</v>
      </c>
      <c r="E103" s="83" t="s">
        <v>3185</v>
      </c>
      <c r="F103" s="83" t="s">
        <v>3177</v>
      </c>
      <c r="G103" s="83" t="s">
        <v>3178</v>
      </c>
      <c r="H103" s="83" t="s">
        <v>3183</v>
      </c>
      <c r="I103" s="83" t="s">
        <v>3181</v>
      </c>
      <c r="J103" s="83" t="s">
        <v>3187</v>
      </c>
      <c r="K103" s="89" t="s">
        <v>3184</v>
      </c>
    </row>
    <row r="104" spans="2:11" x14ac:dyDescent="0.25">
      <c r="B104" s="88">
        <v>99</v>
      </c>
      <c r="C104" s="83" t="s">
        <v>3296</v>
      </c>
      <c r="D104" s="83" t="s">
        <v>3180</v>
      </c>
      <c r="E104" s="83" t="s">
        <v>3185</v>
      </c>
      <c r="F104" s="83" t="s">
        <v>3177</v>
      </c>
      <c r="G104" s="83" t="s">
        <v>3178</v>
      </c>
      <c r="H104" s="83" t="s">
        <v>3183</v>
      </c>
      <c r="I104" s="83" t="s">
        <v>3181</v>
      </c>
      <c r="J104" s="83" t="s">
        <v>3184</v>
      </c>
      <c r="K104" s="89" t="s">
        <v>3186</v>
      </c>
    </row>
    <row r="105" spans="2:11" x14ac:dyDescent="0.25">
      <c r="B105" s="88">
        <v>100</v>
      </c>
      <c r="C105" s="83" t="s">
        <v>3297</v>
      </c>
      <c r="D105" s="83" t="s">
        <v>3180</v>
      </c>
      <c r="E105" s="83" t="s">
        <v>3182</v>
      </c>
      <c r="F105" s="83" t="s">
        <v>3177</v>
      </c>
      <c r="G105" s="83" t="s">
        <v>3178</v>
      </c>
      <c r="H105" s="83" t="s">
        <v>3185</v>
      </c>
      <c r="I105" s="83" t="s">
        <v>3181</v>
      </c>
      <c r="J105" s="83" t="s">
        <v>3187</v>
      </c>
      <c r="K105" s="89" t="s">
        <v>3186</v>
      </c>
    </row>
    <row r="106" spans="2:11" x14ac:dyDescent="0.25">
      <c r="B106" s="88">
        <v>101</v>
      </c>
      <c r="C106" s="83" t="s">
        <v>3298</v>
      </c>
      <c r="D106" s="83" t="s">
        <v>3180</v>
      </c>
      <c r="E106" s="83" t="s">
        <v>3182</v>
      </c>
      <c r="F106" s="83" t="s">
        <v>3177</v>
      </c>
      <c r="G106" s="83" t="s">
        <v>3178</v>
      </c>
      <c r="H106" s="83" t="s">
        <v>3184</v>
      </c>
      <c r="I106" s="83" t="s">
        <v>3181</v>
      </c>
      <c r="J106" s="83" t="s">
        <v>3187</v>
      </c>
      <c r="K106" s="89" t="s">
        <v>3186</v>
      </c>
    </row>
    <row r="107" spans="2:11" x14ac:dyDescent="0.25">
      <c r="B107" s="88">
        <v>102</v>
      </c>
      <c r="C107" s="83" t="s">
        <v>3299</v>
      </c>
      <c r="D107" s="83" t="s">
        <v>3180</v>
      </c>
      <c r="E107" s="83" t="s">
        <v>3182</v>
      </c>
      <c r="F107" s="83" t="s">
        <v>3177</v>
      </c>
      <c r="G107" s="83" t="s">
        <v>3178</v>
      </c>
      <c r="H107" s="83" t="s">
        <v>3185</v>
      </c>
      <c r="I107" s="83" t="s">
        <v>3181</v>
      </c>
      <c r="J107" s="83" t="s">
        <v>3187</v>
      </c>
      <c r="K107" s="89" t="s">
        <v>3184</v>
      </c>
    </row>
    <row r="108" spans="2:11" x14ac:dyDescent="0.25">
      <c r="B108" s="88">
        <v>103</v>
      </c>
      <c r="C108" s="83" t="s">
        <v>3300</v>
      </c>
      <c r="D108" s="83" t="s">
        <v>3180</v>
      </c>
      <c r="E108" s="83" t="s">
        <v>3182</v>
      </c>
      <c r="F108" s="83" t="s">
        <v>3177</v>
      </c>
      <c r="G108" s="83" t="s">
        <v>3178</v>
      </c>
      <c r="H108" s="83" t="s">
        <v>3185</v>
      </c>
      <c r="I108" s="83" t="s">
        <v>3181</v>
      </c>
      <c r="J108" s="83" t="s">
        <v>3184</v>
      </c>
      <c r="K108" s="89" t="s">
        <v>3186</v>
      </c>
    </row>
    <row r="109" spans="2:11" x14ac:dyDescent="0.25">
      <c r="B109" s="88">
        <v>104</v>
      </c>
      <c r="C109" s="83" t="s">
        <v>3301</v>
      </c>
      <c r="D109" s="83" t="s">
        <v>3180</v>
      </c>
      <c r="E109" s="83" t="s">
        <v>3182</v>
      </c>
      <c r="F109" s="83" t="s">
        <v>3177</v>
      </c>
      <c r="G109" s="83" t="s">
        <v>3178</v>
      </c>
      <c r="H109" s="83" t="s">
        <v>3183</v>
      </c>
      <c r="I109" s="83" t="s">
        <v>3181</v>
      </c>
      <c r="J109" s="83" t="s">
        <v>3187</v>
      </c>
      <c r="K109" s="89" t="s">
        <v>3186</v>
      </c>
    </row>
    <row r="110" spans="2:11" x14ac:dyDescent="0.25">
      <c r="B110" s="88">
        <v>105</v>
      </c>
      <c r="C110" s="83" t="s">
        <v>3302</v>
      </c>
      <c r="D110" s="83" t="s">
        <v>3183</v>
      </c>
      <c r="E110" s="83" t="s">
        <v>3182</v>
      </c>
      <c r="F110" s="83" t="s">
        <v>3177</v>
      </c>
      <c r="G110" s="83" t="s">
        <v>3178</v>
      </c>
      <c r="H110" s="83" t="s">
        <v>3185</v>
      </c>
      <c r="I110" s="83" t="s">
        <v>3181</v>
      </c>
      <c r="J110" s="83" t="s">
        <v>3187</v>
      </c>
      <c r="K110" s="89" t="s">
        <v>3180</v>
      </c>
    </row>
    <row r="111" spans="2:11" x14ac:dyDescent="0.25">
      <c r="B111" s="88">
        <v>106</v>
      </c>
      <c r="C111" s="83" t="s">
        <v>3303</v>
      </c>
      <c r="D111" s="83" t="s">
        <v>3183</v>
      </c>
      <c r="E111" s="83" t="s">
        <v>3182</v>
      </c>
      <c r="F111" s="83" t="s">
        <v>3177</v>
      </c>
      <c r="G111" s="83" t="s">
        <v>3178</v>
      </c>
      <c r="H111" s="83" t="s">
        <v>3185</v>
      </c>
      <c r="I111" s="83" t="s">
        <v>3181</v>
      </c>
      <c r="J111" s="83" t="s">
        <v>3180</v>
      </c>
      <c r="K111" s="89" t="s">
        <v>3186</v>
      </c>
    </row>
    <row r="112" spans="2:11" x14ac:dyDescent="0.25">
      <c r="B112" s="88">
        <v>107</v>
      </c>
      <c r="C112" s="83" t="s">
        <v>3304</v>
      </c>
      <c r="D112" s="83" t="s">
        <v>3180</v>
      </c>
      <c r="E112" s="83" t="s">
        <v>3182</v>
      </c>
      <c r="F112" s="83" t="s">
        <v>3177</v>
      </c>
      <c r="G112" s="83" t="s">
        <v>3178</v>
      </c>
      <c r="H112" s="83" t="s">
        <v>3183</v>
      </c>
      <c r="I112" s="83" t="s">
        <v>3181</v>
      </c>
      <c r="J112" s="83" t="s">
        <v>3187</v>
      </c>
      <c r="K112" s="89" t="s">
        <v>3184</v>
      </c>
    </row>
    <row r="113" spans="2:11" x14ac:dyDescent="0.25">
      <c r="B113" s="88">
        <v>108</v>
      </c>
      <c r="C113" s="83" t="s">
        <v>3305</v>
      </c>
      <c r="D113" s="83" t="s">
        <v>3180</v>
      </c>
      <c r="E113" s="83" t="s">
        <v>3182</v>
      </c>
      <c r="F113" s="83" t="s">
        <v>3177</v>
      </c>
      <c r="G113" s="83" t="s">
        <v>3178</v>
      </c>
      <c r="H113" s="83" t="s">
        <v>3183</v>
      </c>
      <c r="I113" s="83" t="s">
        <v>3181</v>
      </c>
      <c r="J113" s="83" t="s">
        <v>3184</v>
      </c>
      <c r="K113" s="89" t="s">
        <v>3186</v>
      </c>
    </row>
    <row r="114" spans="2:11" x14ac:dyDescent="0.25">
      <c r="B114" s="88">
        <v>109</v>
      </c>
      <c r="C114" s="83" t="s">
        <v>3306</v>
      </c>
      <c r="D114" s="83" t="s">
        <v>3183</v>
      </c>
      <c r="E114" s="83" t="s">
        <v>3182</v>
      </c>
      <c r="F114" s="83" t="s">
        <v>3177</v>
      </c>
      <c r="G114" s="83" t="s">
        <v>3178</v>
      </c>
      <c r="H114" s="83" t="s">
        <v>3185</v>
      </c>
      <c r="I114" s="83" t="s">
        <v>3181</v>
      </c>
      <c r="J114" s="83" t="s">
        <v>3180</v>
      </c>
      <c r="K114" s="89" t="s">
        <v>3184</v>
      </c>
    </row>
    <row r="115" spans="2:11" x14ac:dyDescent="0.25">
      <c r="B115" s="88">
        <v>110</v>
      </c>
      <c r="C115" s="83" t="s">
        <v>3307</v>
      </c>
      <c r="D115" s="83" t="s">
        <v>3183</v>
      </c>
      <c r="E115" s="83" t="s">
        <v>3185</v>
      </c>
      <c r="F115" s="83" t="s">
        <v>3177</v>
      </c>
      <c r="G115" s="83" t="s">
        <v>3178</v>
      </c>
      <c r="H115" s="83" t="s">
        <v>3184</v>
      </c>
      <c r="I115" s="83" t="s">
        <v>3179</v>
      </c>
      <c r="J115" s="83" t="s">
        <v>3187</v>
      </c>
      <c r="K115" s="89" t="s">
        <v>3186</v>
      </c>
    </row>
    <row r="116" spans="2:11" x14ac:dyDescent="0.25">
      <c r="B116" s="88">
        <v>111</v>
      </c>
      <c r="C116" s="83" t="s">
        <v>3308</v>
      </c>
      <c r="D116" s="83" t="s">
        <v>3184</v>
      </c>
      <c r="E116" s="83" t="s">
        <v>3182</v>
      </c>
      <c r="F116" s="83" t="s">
        <v>3177</v>
      </c>
      <c r="G116" s="83" t="s">
        <v>3178</v>
      </c>
      <c r="H116" s="83" t="s">
        <v>3185</v>
      </c>
      <c r="I116" s="83" t="s">
        <v>3179</v>
      </c>
      <c r="J116" s="83" t="s">
        <v>3187</v>
      </c>
      <c r="K116" s="89" t="s">
        <v>3186</v>
      </c>
    </row>
    <row r="117" spans="2:11" x14ac:dyDescent="0.25">
      <c r="B117" s="88">
        <v>112</v>
      </c>
      <c r="C117" s="83" t="s">
        <v>3309</v>
      </c>
      <c r="D117" s="83" t="s">
        <v>3183</v>
      </c>
      <c r="E117" s="83" t="s">
        <v>3182</v>
      </c>
      <c r="F117" s="83" t="s">
        <v>3177</v>
      </c>
      <c r="G117" s="83" t="s">
        <v>3178</v>
      </c>
      <c r="H117" s="83" t="s">
        <v>3185</v>
      </c>
      <c r="I117" s="83" t="s">
        <v>3179</v>
      </c>
      <c r="J117" s="83" t="s">
        <v>3187</v>
      </c>
      <c r="K117" s="89" t="s">
        <v>3186</v>
      </c>
    </row>
    <row r="118" spans="2:11" x14ac:dyDescent="0.25">
      <c r="B118" s="88">
        <v>113</v>
      </c>
      <c r="C118" s="83" t="s">
        <v>3310</v>
      </c>
      <c r="D118" s="83" t="s">
        <v>3183</v>
      </c>
      <c r="E118" s="83" t="s">
        <v>3182</v>
      </c>
      <c r="F118" s="83" t="s">
        <v>3177</v>
      </c>
      <c r="G118" s="83" t="s">
        <v>3178</v>
      </c>
      <c r="H118" s="83" t="s">
        <v>3184</v>
      </c>
      <c r="I118" s="83" t="s">
        <v>3179</v>
      </c>
      <c r="J118" s="83" t="s">
        <v>3187</v>
      </c>
      <c r="K118" s="89" t="s">
        <v>3186</v>
      </c>
    </row>
    <row r="119" spans="2:11" x14ac:dyDescent="0.25">
      <c r="B119" s="88">
        <v>114</v>
      </c>
      <c r="C119" s="83" t="s">
        <v>3311</v>
      </c>
      <c r="D119" s="83" t="s">
        <v>3183</v>
      </c>
      <c r="E119" s="83" t="s">
        <v>3182</v>
      </c>
      <c r="F119" s="83" t="s">
        <v>3177</v>
      </c>
      <c r="G119" s="83" t="s">
        <v>3178</v>
      </c>
      <c r="H119" s="83" t="s">
        <v>3185</v>
      </c>
      <c r="I119" s="83" t="s">
        <v>3179</v>
      </c>
      <c r="J119" s="83" t="s">
        <v>3187</v>
      </c>
      <c r="K119" s="89" t="s">
        <v>3184</v>
      </c>
    </row>
    <row r="120" spans="2:11" x14ac:dyDescent="0.25">
      <c r="B120" s="88">
        <v>115</v>
      </c>
      <c r="C120" s="83" t="s">
        <v>3312</v>
      </c>
      <c r="D120" s="83" t="s">
        <v>3183</v>
      </c>
      <c r="E120" s="83" t="s">
        <v>3182</v>
      </c>
      <c r="F120" s="83" t="s">
        <v>3177</v>
      </c>
      <c r="G120" s="83" t="s">
        <v>3178</v>
      </c>
      <c r="H120" s="83" t="s">
        <v>3185</v>
      </c>
      <c r="I120" s="83" t="s">
        <v>3179</v>
      </c>
      <c r="J120" s="83" t="s">
        <v>3184</v>
      </c>
      <c r="K120" s="89" t="s">
        <v>3186</v>
      </c>
    </row>
    <row r="121" spans="2:11" x14ac:dyDescent="0.25">
      <c r="B121" s="88">
        <v>116</v>
      </c>
      <c r="C121" s="83" t="s">
        <v>3313</v>
      </c>
      <c r="D121" s="83" t="s">
        <v>3178</v>
      </c>
      <c r="E121" s="83" t="s">
        <v>3185</v>
      </c>
      <c r="F121" s="83" t="s">
        <v>3177</v>
      </c>
      <c r="G121" s="83" t="s">
        <v>3179</v>
      </c>
      <c r="H121" s="83" t="s">
        <v>3184</v>
      </c>
      <c r="I121" s="83" t="s">
        <v>3181</v>
      </c>
      <c r="J121" s="83" t="s">
        <v>3187</v>
      </c>
      <c r="K121" s="89" t="s">
        <v>3186</v>
      </c>
    </row>
    <row r="122" spans="2:11" x14ac:dyDescent="0.25">
      <c r="B122" s="88">
        <v>117</v>
      </c>
      <c r="C122" s="83" t="s">
        <v>3314</v>
      </c>
      <c r="D122" s="83" t="s">
        <v>3178</v>
      </c>
      <c r="E122" s="83" t="s">
        <v>3185</v>
      </c>
      <c r="F122" s="83" t="s">
        <v>3177</v>
      </c>
      <c r="G122" s="83" t="s">
        <v>3179</v>
      </c>
      <c r="H122" s="83" t="s">
        <v>3183</v>
      </c>
      <c r="I122" s="83" t="s">
        <v>3181</v>
      </c>
      <c r="J122" s="83" t="s">
        <v>3187</v>
      </c>
      <c r="K122" s="89" t="s">
        <v>3186</v>
      </c>
    </row>
    <row r="123" spans="2:11" x14ac:dyDescent="0.25">
      <c r="B123" s="88">
        <v>118</v>
      </c>
      <c r="C123" s="83" t="s">
        <v>3315</v>
      </c>
      <c r="D123" s="83" t="s">
        <v>3178</v>
      </c>
      <c r="E123" s="83" t="s">
        <v>3184</v>
      </c>
      <c r="F123" s="83" t="s">
        <v>3177</v>
      </c>
      <c r="G123" s="83" t="s">
        <v>3179</v>
      </c>
      <c r="H123" s="83" t="s">
        <v>3183</v>
      </c>
      <c r="I123" s="83" t="s">
        <v>3181</v>
      </c>
      <c r="J123" s="83" t="s">
        <v>3187</v>
      </c>
      <c r="K123" s="89" t="s">
        <v>3186</v>
      </c>
    </row>
    <row r="124" spans="2:11" x14ac:dyDescent="0.25">
      <c r="B124" s="88">
        <v>119</v>
      </c>
      <c r="C124" s="83" t="s">
        <v>3316</v>
      </c>
      <c r="D124" s="83" t="s">
        <v>3178</v>
      </c>
      <c r="E124" s="83" t="s">
        <v>3185</v>
      </c>
      <c r="F124" s="83" t="s">
        <v>3177</v>
      </c>
      <c r="G124" s="83" t="s">
        <v>3179</v>
      </c>
      <c r="H124" s="83" t="s">
        <v>3183</v>
      </c>
      <c r="I124" s="83" t="s">
        <v>3181</v>
      </c>
      <c r="J124" s="83" t="s">
        <v>3187</v>
      </c>
      <c r="K124" s="89" t="s">
        <v>3184</v>
      </c>
    </row>
    <row r="125" spans="2:11" x14ac:dyDescent="0.25">
      <c r="B125" s="88">
        <v>120</v>
      </c>
      <c r="C125" s="83" t="s">
        <v>3317</v>
      </c>
      <c r="D125" s="83" t="s">
        <v>3178</v>
      </c>
      <c r="E125" s="83" t="s">
        <v>3185</v>
      </c>
      <c r="F125" s="83" t="s">
        <v>3177</v>
      </c>
      <c r="G125" s="83" t="s">
        <v>3179</v>
      </c>
      <c r="H125" s="83" t="s">
        <v>3183</v>
      </c>
      <c r="I125" s="83" t="s">
        <v>3181</v>
      </c>
      <c r="J125" s="83" t="s">
        <v>3184</v>
      </c>
      <c r="K125" s="89" t="s">
        <v>3186</v>
      </c>
    </row>
    <row r="126" spans="2:11" x14ac:dyDescent="0.25">
      <c r="B126" s="88">
        <v>121</v>
      </c>
      <c r="C126" s="83" t="s">
        <v>3318</v>
      </c>
      <c r="D126" s="83" t="s">
        <v>3178</v>
      </c>
      <c r="E126" s="83" t="s">
        <v>3182</v>
      </c>
      <c r="F126" s="83" t="s">
        <v>3177</v>
      </c>
      <c r="G126" s="83" t="s">
        <v>3179</v>
      </c>
      <c r="H126" s="83" t="s">
        <v>3185</v>
      </c>
      <c r="I126" s="83" t="s">
        <v>3181</v>
      </c>
      <c r="J126" s="83" t="s">
        <v>3187</v>
      </c>
      <c r="K126" s="89" t="s">
        <v>3186</v>
      </c>
    </row>
    <row r="127" spans="2:11" x14ac:dyDescent="0.25">
      <c r="B127" s="88">
        <v>122</v>
      </c>
      <c r="C127" s="83" t="s">
        <v>3319</v>
      </c>
      <c r="D127" s="83" t="s">
        <v>3178</v>
      </c>
      <c r="E127" s="83" t="s">
        <v>3182</v>
      </c>
      <c r="F127" s="83" t="s">
        <v>3177</v>
      </c>
      <c r="G127" s="83" t="s">
        <v>3179</v>
      </c>
      <c r="H127" s="83" t="s">
        <v>3184</v>
      </c>
      <c r="I127" s="83" t="s">
        <v>3181</v>
      </c>
      <c r="J127" s="83" t="s">
        <v>3187</v>
      </c>
      <c r="K127" s="89" t="s">
        <v>3186</v>
      </c>
    </row>
    <row r="128" spans="2:11" x14ac:dyDescent="0.25">
      <c r="B128" s="88">
        <v>123</v>
      </c>
      <c r="C128" s="83" t="s">
        <v>3320</v>
      </c>
      <c r="D128" s="83" t="s">
        <v>3178</v>
      </c>
      <c r="E128" s="83" t="s">
        <v>3182</v>
      </c>
      <c r="F128" s="83" t="s">
        <v>3177</v>
      </c>
      <c r="G128" s="83" t="s">
        <v>3179</v>
      </c>
      <c r="H128" s="83" t="s">
        <v>3185</v>
      </c>
      <c r="I128" s="83" t="s">
        <v>3181</v>
      </c>
      <c r="J128" s="83" t="s">
        <v>3187</v>
      </c>
      <c r="K128" s="89" t="s">
        <v>3184</v>
      </c>
    </row>
    <row r="129" spans="2:11" x14ac:dyDescent="0.25">
      <c r="B129" s="88">
        <v>124</v>
      </c>
      <c r="C129" s="83" t="s">
        <v>3321</v>
      </c>
      <c r="D129" s="83" t="s">
        <v>3178</v>
      </c>
      <c r="E129" s="83" t="s">
        <v>3182</v>
      </c>
      <c r="F129" s="83" t="s">
        <v>3177</v>
      </c>
      <c r="G129" s="83" t="s">
        <v>3179</v>
      </c>
      <c r="H129" s="83" t="s">
        <v>3185</v>
      </c>
      <c r="I129" s="83" t="s">
        <v>3181</v>
      </c>
      <c r="J129" s="83" t="s">
        <v>3184</v>
      </c>
      <c r="K129" s="89" t="s">
        <v>3186</v>
      </c>
    </row>
    <row r="130" spans="2:11" x14ac:dyDescent="0.25">
      <c r="B130" s="88">
        <v>125</v>
      </c>
      <c r="C130" s="83" t="s">
        <v>3322</v>
      </c>
      <c r="D130" s="83" t="s">
        <v>3178</v>
      </c>
      <c r="E130" s="83" t="s">
        <v>3182</v>
      </c>
      <c r="F130" s="83" t="s">
        <v>3177</v>
      </c>
      <c r="G130" s="83" t="s">
        <v>3179</v>
      </c>
      <c r="H130" s="83" t="s">
        <v>3183</v>
      </c>
      <c r="I130" s="83" t="s">
        <v>3181</v>
      </c>
      <c r="J130" s="83" t="s">
        <v>3187</v>
      </c>
      <c r="K130" s="89" t="s">
        <v>3186</v>
      </c>
    </row>
    <row r="131" spans="2:11" x14ac:dyDescent="0.25">
      <c r="B131" s="88">
        <v>126</v>
      </c>
      <c r="C131" s="83" t="s">
        <v>3323</v>
      </c>
      <c r="D131" s="83" t="s">
        <v>3178</v>
      </c>
      <c r="E131" s="83" t="s">
        <v>3182</v>
      </c>
      <c r="F131" s="83" t="s">
        <v>3177</v>
      </c>
      <c r="G131" s="83" t="s">
        <v>3179</v>
      </c>
      <c r="H131" s="83" t="s">
        <v>3183</v>
      </c>
      <c r="I131" s="83" t="s">
        <v>3181</v>
      </c>
      <c r="J131" s="83" t="s">
        <v>3187</v>
      </c>
      <c r="K131" s="89" t="s">
        <v>3185</v>
      </c>
    </row>
    <row r="132" spans="2:11" x14ac:dyDescent="0.25">
      <c r="B132" s="88">
        <v>127</v>
      </c>
      <c r="C132" s="83" t="s">
        <v>3324</v>
      </c>
      <c r="D132" s="83" t="s">
        <v>3183</v>
      </c>
      <c r="E132" s="83" t="s">
        <v>3182</v>
      </c>
      <c r="F132" s="83" t="s">
        <v>3177</v>
      </c>
      <c r="G132" s="83" t="s">
        <v>3178</v>
      </c>
      <c r="H132" s="83" t="s">
        <v>3185</v>
      </c>
      <c r="I132" s="83" t="s">
        <v>3181</v>
      </c>
      <c r="J132" s="83" t="s">
        <v>3179</v>
      </c>
      <c r="K132" s="89" t="s">
        <v>3186</v>
      </c>
    </row>
    <row r="133" spans="2:11" x14ac:dyDescent="0.25">
      <c r="B133" s="88">
        <v>128</v>
      </c>
      <c r="C133" s="83" t="s">
        <v>3325</v>
      </c>
      <c r="D133" s="83" t="s">
        <v>3178</v>
      </c>
      <c r="E133" s="83" t="s">
        <v>3182</v>
      </c>
      <c r="F133" s="83" t="s">
        <v>3177</v>
      </c>
      <c r="G133" s="83" t="s">
        <v>3179</v>
      </c>
      <c r="H133" s="83" t="s">
        <v>3183</v>
      </c>
      <c r="I133" s="83" t="s">
        <v>3181</v>
      </c>
      <c r="J133" s="83" t="s">
        <v>3187</v>
      </c>
      <c r="K133" s="89" t="s">
        <v>3184</v>
      </c>
    </row>
    <row r="134" spans="2:11" x14ac:dyDescent="0.25">
      <c r="B134" s="88">
        <v>129</v>
      </c>
      <c r="C134" s="83" t="s">
        <v>3326</v>
      </c>
      <c r="D134" s="83" t="s">
        <v>3178</v>
      </c>
      <c r="E134" s="83" t="s">
        <v>3182</v>
      </c>
      <c r="F134" s="83" t="s">
        <v>3177</v>
      </c>
      <c r="G134" s="83" t="s">
        <v>3179</v>
      </c>
      <c r="H134" s="83" t="s">
        <v>3183</v>
      </c>
      <c r="I134" s="83" t="s">
        <v>3181</v>
      </c>
      <c r="J134" s="83" t="s">
        <v>3184</v>
      </c>
      <c r="K134" s="89" t="s">
        <v>3186</v>
      </c>
    </row>
    <row r="135" spans="2:11" x14ac:dyDescent="0.25">
      <c r="B135" s="88">
        <v>130</v>
      </c>
      <c r="C135" s="83" t="s">
        <v>3327</v>
      </c>
      <c r="D135" s="83" t="s">
        <v>3183</v>
      </c>
      <c r="E135" s="83" t="s">
        <v>3182</v>
      </c>
      <c r="F135" s="83" t="s">
        <v>3177</v>
      </c>
      <c r="G135" s="83" t="s">
        <v>3178</v>
      </c>
      <c r="H135" s="83" t="s">
        <v>3185</v>
      </c>
      <c r="I135" s="83" t="s">
        <v>3181</v>
      </c>
      <c r="J135" s="83" t="s">
        <v>3179</v>
      </c>
      <c r="K135" s="89" t="s">
        <v>3184</v>
      </c>
    </row>
    <row r="136" spans="2:11" x14ac:dyDescent="0.25">
      <c r="B136" s="88">
        <v>131</v>
      </c>
      <c r="C136" s="83" t="s">
        <v>3328</v>
      </c>
      <c r="D136" s="83" t="s">
        <v>3180</v>
      </c>
      <c r="E136" s="83" t="s">
        <v>3185</v>
      </c>
      <c r="F136" s="83" t="s">
        <v>3177</v>
      </c>
      <c r="G136" s="83" t="s">
        <v>3178</v>
      </c>
      <c r="H136" s="83" t="s">
        <v>3184</v>
      </c>
      <c r="I136" s="83" t="s">
        <v>3179</v>
      </c>
      <c r="J136" s="83" t="s">
        <v>3187</v>
      </c>
      <c r="K136" s="89" t="s">
        <v>3186</v>
      </c>
    </row>
    <row r="137" spans="2:11" x14ac:dyDescent="0.25">
      <c r="B137" s="88">
        <v>132</v>
      </c>
      <c r="C137" s="83" t="s">
        <v>3329</v>
      </c>
      <c r="D137" s="83" t="s">
        <v>3180</v>
      </c>
      <c r="E137" s="83" t="s">
        <v>3185</v>
      </c>
      <c r="F137" s="83" t="s">
        <v>3177</v>
      </c>
      <c r="G137" s="83" t="s">
        <v>3178</v>
      </c>
      <c r="H137" s="83" t="s">
        <v>3183</v>
      </c>
      <c r="I137" s="83" t="s">
        <v>3179</v>
      </c>
      <c r="J137" s="83" t="s">
        <v>3187</v>
      </c>
      <c r="K137" s="89" t="s">
        <v>3186</v>
      </c>
    </row>
    <row r="138" spans="2:11" x14ac:dyDescent="0.25">
      <c r="B138" s="88">
        <v>133</v>
      </c>
      <c r="C138" s="83" t="s">
        <v>3330</v>
      </c>
      <c r="D138" s="83" t="s">
        <v>3180</v>
      </c>
      <c r="E138" s="83" t="s">
        <v>3184</v>
      </c>
      <c r="F138" s="83" t="s">
        <v>3177</v>
      </c>
      <c r="G138" s="83" t="s">
        <v>3178</v>
      </c>
      <c r="H138" s="83" t="s">
        <v>3183</v>
      </c>
      <c r="I138" s="83" t="s">
        <v>3179</v>
      </c>
      <c r="J138" s="83" t="s">
        <v>3187</v>
      </c>
      <c r="K138" s="89" t="s">
        <v>3186</v>
      </c>
    </row>
    <row r="139" spans="2:11" x14ac:dyDescent="0.25">
      <c r="B139" s="88">
        <v>134</v>
      </c>
      <c r="C139" s="83" t="s">
        <v>3331</v>
      </c>
      <c r="D139" s="83" t="s">
        <v>3180</v>
      </c>
      <c r="E139" s="83" t="s">
        <v>3185</v>
      </c>
      <c r="F139" s="83" t="s">
        <v>3177</v>
      </c>
      <c r="G139" s="83" t="s">
        <v>3178</v>
      </c>
      <c r="H139" s="83" t="s">
        <v>3183</v>
      </c>
      <c r="I139" s="83" t="s">
        <v>3179</v>
      </c>
      <c r="J139" s="83" t="s">
        <v>3187</v>
      </c>
      <c r="K139" s="89" t="s">
        <v>3184</v>
      </c>
    </row>
    <row r="140" spans="2:11" x14ac:dyDescent="0.25">
      <c r="B140" s="88">
        <v>135</v>
      </c>
      <c r="C140" s="83" t="s">
        <v>3332</v>
      </c>
      <c r="D140" s="83" t="s">
        <v>3180</v>
      </c>
      <c r="E140" s="83" t="s">
        <v>3185</v>
      </c>
      <c r="F140" s="83" t="s">
        <v>3177</v>
      </c>
      <c r="G140" s="83" t="s">
        <v>3178</v>
      </c>
      <c r="H140" s="83" t="s">
        <v>3183</v>
      </c>
      <c r="I140" s="83" t="s">
        <v>3179</v>
      </c>
      <c r="J140" s="83" t="s">
        <v>3184</v>
      </c>
      <c r="K140" s="89" t="s">
        <v>3186</v>
      </c>
    </row>
    <row r="141" spans="2:11" x14ac:dyDescent="0.25">
      <c r="B141" s="88">
        <v>136</v>
      </c>
      <c r="C141" s="83" t="s">
        <v>3333</v>
      </c>
      <c r="D141" s="83" t="s">
        <v>3180</v>
      </c>
      <c r="E141" s="83" t="s">
        <v>3182</v>
      </c>
      <c r="F141" s="83" t="s">
        <v>3177</v>
      </c>
      <c r="G141" s="83" t="s">
        <v>3178</v>
      </c>
      <c r="H141" s="83" t="s">
        <v>3185</v>
      </c>
      <c r="I141" s="83" t="s">
        <v>3179</v>
      </c>
      <c r="J141" s="83" t="s">
        <v>3187</v>
      </c>
      <c r="K141" s="89" t="s">
        <v>3186</v>
      </c>
    </row>
    <row r="142" spans="2:11" x14ac:dyDescent="0.25">
      <c r="B142" s="88">
        <v>137</v>
      </c>
      <c r="C142" s="83" t="s">
        <v>3334</v>
      </c>
      <c r="D142" s="83" t="s">
        <v>3180</v>
      </c>
      <c r="E142" s="83" t="s">
        <v>3182</v>
      </c>
      <c r="F142" s="83" t="s">
        <v>3177</v>
      </c>
      <c r="G142" s="83" t="s">
        <v>3178</v>
      </c>
      <c r="H142" s="83" t="s">
        <v>3184</v>
      </c>
      <c r="I142" s="83" t="s">
        <v>3179</v>
      </c>
      <c r="J142" s="83" t="s">
        <v>3187</v>
      </c>
      <c r="K142" s="89" t="s">
        <v>3186</v>
      </c>
    </row>
    <row r="143" spans="2:11" x14ac:dyDescent="0.25">
      <c r="B143" s="88">
        <v>138</v>
      </c>
      <c r="C143" s="83" t="s">
        <v>3335</v>
      </c>
      <c r="D143" s="83" t="s">
        <v>3180</v>
      </c>
      <c r="E143" s="83" t="s">
        <v>3182</v>
      </c>
      <c r="F143" s="83" t="s">
        <v>3177</v>
      </c>
      <c r="G143" s="83" t="s">
        <v>3178</v>
      </c>
      <c r="H143" s="83" t="s">
        <v>3185</v>
      </c>
      <c r="I143" s="83" t="s">
        <v>3179</v>
      </c>
      <c r="J143" s="83" t="s">
        <v>3187</v>
      </c>
      <c r="K143" s="89" t="s">
        <v>3184</v>
      </c>
    </row>
    <row r="144" spans="2:11" x14ac:dyDescent="0.25">
      <c r="B144" s="88">
        <v>139</v>
      </c>
      <c r="C144" s="83" t="s">
        <v>3336</v>
      </c>
      <c r="D144" s="83" t="s">
        <v>3180</v>
      </c>
      <c r="E144" s="83" t="s">
        <v>3182</v>
      </c>
      <c r="F144" s="83" t="s">
        <v>3177</v>
      </c>
      <c r="G144" s="83" t="s">
        <v>3178</v>
      </c>
      <c r="H144" s="83" t="s">
        <v>3185</v>
      </c>
      <c r="I144" s="83" t="s">
        <v>3179</v>
      </c>
      <c r="J144" s="83" t="s">
        <v>3184</v>
      </c>
      <c r="K144" s="89" t="s">
        <v>3186</v>
      </c>
    </row>
    <row r="145" spans="2:11" x14ac:dyDescent="0.25">
      <c r="B145" s="88">
        <v>140</v>
      </c>
      <c r="C145" s="83" t="s">
        <v>3337</v>
      </c>
      <c r="D145" s="83" t="s">
        <v>3180</v>
      </c>
      <c r="E145" s="83" t="s">
        <v>3182</v>
      </c>
      <c r="F145" s="83" t="s">
        <v>3177</v>
      </c>
      <c r="G145" s="83" t="s">
        <v>3178</v>
      </c>
      <c r="H145" s="83" t="s">
        <v>3183</v>
      </c>
      <c r="I145" s="83" t="s">
        <v>3179</v>
      </c>
      <c r="J145" s="83" t="s">
        <v>3187</v>
      </c>
      <c r="K145" s="89" t="s">
        <v>3186</v>
      </c>
    </row>
    <row r="146" spans="2:11" x14ac:dyDescent="0.25">
      <c r="B146" s="88">
        <v>141</v>
      </c>
      <c r="C146" s="83" t="s">
        <v>3338</v>
      </c>
      <c r="D146" s="83" t="s">
        <v>3183</v>
      </c>
      <c r="E146" s="83" t="s">
        <v>3182</v>
      </c>
      <c r="F146" s="83" t="s">
        <v>3177</v>
      </c>
      <c r="G146" s="83" t="s">
        <v>3178</v>
      </c>
      <c r="H146" s="83" t="s">
        <v>3185</v>
      </c>
      <c r="I146" s="83" t="s">
        <v>3179</v>
      </c>
      <c r="J146" s="83" t="s">
        <v>3187</v>
      </c>
      <c r="K146" s="89" t="s">
        <v>3180</v>
      </c>
    </row>
    <row r="147" spans="2:11" x14ac:dyDescent="0.25">
      <c r="B147" s="88">
        <v>142</v>
      </c>
      <c r="C147" s="83" t="s">
        <v>3339</v>
      </c>
      <c r="D147" s="83" t="s">
        <v>3183</v>
      </c>
      <c r="E147" s="83" t="s">
        <v>3182</v>
      </c>
      <c r="F147" s="83" t="s">
        <v>3177</v>
      </c>
      <c r="G147" s="83" t="s">
        <v>3178</v>
      </c>
      <c r="H147" s="83" t="s">
        <v>3185</v>
      </c>
      <c r="I147" s="83" t="s">
        <v>3179</v>
      </c>
      <c r="J147" s="83" t="s">
        <v>3180</v>
      </c>
      <c r="K147" s="89" t="s">
        <v>3186</v>
      </c>
    </row>
    <row r="148" spans="2:11" x14ac:dyDescent="0.25">
      <c r="B148" s="88">
        <v>143</v>
      </c>
      <c r="C148" s="83" t="s">
        <v>3340</v>
      </c>
      <c r="D148" s="83" t="s">
        <v>3180</v>
      </c>
      <c r="E148" s="83" t="s">
        <v>3182</v>
      </c>
      <c r="F148" s="83" t="s">
        <v>3177</v>
      </c>
      <c r="G148" s="83" t="s">
        <v>3178</v>
      </c>
      <c r="H148" s="83" t="s">
        <v>3183</v>
      </c>
      <c r="I148" s="83" t="s">
        <v>3179</v>
      </c>
      <c r="J148" s="83" t="s">
        <v>3187</v>
      </c>
      <c r="K148" s="89" t="s">
        <v>3184</v>
      </c>
    </row>
    <row r="149" spans="2:11" x14ac:dyDescent="0.25">
      <c r="B149" s="88">
        <v>144</v>
      </c>
      <c r="C149" s="83" t="s">
        <v>3341</v>
      </c>
      <c r="D149" s="83" t="s">
        <v>3180</v>
      </c>
      <c r="E149" s="83" t="s">
        <v>3182</v>
      </c>
      <c r="F149" s="83" t="s">
        <v>3177</v>
      </c>
      <c r="G149" s="83" t="s">
        <v>3178</v>
      </c>
      <c r="H149" s="83" t="s">
        <v>3183</v>
      </c>
      <c r="I149" s="83" t="s">
        <v>3179</v>
      </c>
      <c r="J149" s="83" t="s">
        <v>3184</v>
      </c>
      <c r="K149" s="89" t="s">
        <v>3186</v>
      </c>
    </row>
    <row r="150" spans="2:11" x14ac:dyDescent="0.25">
      <c r="B150" s="88">
        <v>145</v>
      </c>
      <c r="C150" s="83" t="s">
        <v>3342</v>
      </c>
      <c r="D150" s="83" t="s">
        <v>3183</v>
      </c>
      <c r="E150" s="83" t="s">
        <v>3182</v>
      </c>
      <c r="F150" s="83" t="s">
        <v>3177</v>
      </c>
      <c r="G150" s="83" t="s">
        <v>3178</v>
      </c>
      <c r="H150" s="83" t="s">
        <v>3185</v>
      </c>
      <c r="I150" s="83" t="s">
        <v>3179</v>
      </c>
      <c r="J150" s="83" t="s">
        <v>3180</v>
      </c>
      <c r="K150" s="89" t="s">
        <v>3184</v>
      </c>
    </row>
    <row r="151" spans="2:11" x14ac:dyDescent="0.25">
      <c r="B151" s="88">
        <v>146</v>
      </c>
      <c r="C151" s="83" t="s">
        <v>3343</v>
      </c>
      <c r="D151" s="83" t="s">
        <v>3178</v>
      </c>
      <c r="E151" s="83" t="s">
        <v>3185</v>
      </c>
      <c r="F151" s="83" t="s">
        <v>3177</v>
      </c>
      <c r="G151" s="83" t="s">
        <v>3179</v>
      </c>
      <c r="H151" s="83" t="s">
        <v>3180</v>
      </c>
      <c r="I151" s="83" t="s">
        <v>3181</v>
      </c>
      <c r="J151" s="83" t="s">
        <v>3187</v>
      </c>
      <c r="K151" s="89" t="s">
        <v>3186</v>
      </c>
    </row>
    <row r="152" spans="2:11" x14ac:dyDescent="0.25">
      <c r="B152" s="88">
        <v>147</v>
      </c>
      <c r="C152" s="83" t="s">
        <v>3344</v>
      </c>
      <c r="D152" s="83" t="s">
        <v>3178</v>
      </c>
      <c r="E152" s="83" t="s">
        <v>3180</v>
      </c>
      <c r="F152" s="83" t="s">
        <v>3177</v>
      </c>
      <c r="G152" s="83" t="s">
        <v>3179</v>
      </c>
      <c r="H152" s="83" t="s">
        <v>3184</v>
      </c>
      <c r="I152" s="83" t="s">
        <v>3181</v>
      </c>
      <c r="J152" s="83" t="s">
        <v>3187</v>
      </c>
      <c r="K152" s="89" t="s">
        <v>3186</v>
      </c>
    </row>
    <row r="153" spans="2:11" x14ac:dyDescent="0.25">
      <c r="B153" s="88">
        <v>148</v>
      </c>
      <c r="C153" s="83" t="s">
        <v>3345</v>
      </c>
      <c r="D153" s="83" t="s">
        <v>3178</v>
      </c>
      <c r="E153" s="83" t="s">
        <v>3185</v>
      </c>
      <c r="F153" s="83" t="s">
        <v>3177</v>
      </c>
      <c r="G153" s="83" t="s">
        <v>3179</v>
      </c>
      <c r="H153" s="83" t="s">
        <v>3180</v>
      </c>
      <c r="I153" s="83" t="s">
        <v>3181</v>
      </c>
      <c r="J153" s="83" t="s">
        <v>3187</v>
      </c>
      <c r="K153" s="89" t="s">
        <v>3184</v>
      </c>
    </row>
    <row r="154" spans="2:11" x14ac:dyDescent="0.25">
      <c r="B154" s="88">
        <v>149</v>
      </c>
      <c r="C154" s="83" t="s">
        <v>3346</v>
      </c>
      <c r="D154" s="83" t="s">
        <v>3178</v>
      </c>
      <c r="E154" s="83" t="s">
        <v>3185</v>
      </c>
      <c r="F154" s="83" t="s">
        <v>3177</v>
      </c>
      <c r="G154" s="83" t="s">
        <v>3179</v>
      </c>
      <c r="H154" s="83" t="s">
        <v>3180</v>
      </c>
      <c r="I154" s="83" t="s">
        <v>3181</v>
      </c>
      <c r="J154" s="83" t="s">
        <v>3184</v>
      </c>
      <c r="K154" s="89" t="s">
        <v>3186</v>
      </c>
    </row>
    <row r="155" spans="2:11" x14ac:dyDescent="0.25">
      <c r="B155" s="88">
        <v>150</v>
      </c>
      <c r="C155" s="83" t="s">
        <v>3347</v>
      </c>
      <c r="D155" s="83" t="s">
        <v>3178</v>
      </c>
      <c r="E155" s="83" t="s">
        <v>3180</v>
      </c>
      <c r="F155" s="83" t="s">
        <v>3177</v>
      </c>
      <c r="G155" s="83" t="s">
        <v>3179</v>
      </c>
      <c r="H155" s="83" t="s">
        <v>3183</v>
      </c>
      <c r="I155" s="83" t="s">
        <v>3181</v>
      </c>
      <c r="J155" s="83" t="s">
        <v>3187</v>
      </c>
      <c r="K155" s="89" t="s">
        <v>3186</v>
      </c>
    </row>
    <row r="156" spans="2:11" x14ac:dyDescent="0.25">
      <c r="B156" s="88">
        <v>151</v>
      </c>
      <c r="C156" s="83" t="s">
        <v>3348</v>
      </c>
      <c r="D156" s="83" t="s">
        <v>3178</v>
      </c>
      <c r="E156" s="83" t="s">
        <v>3185</v>
      </c>
      <c r="F156" s="83" t="s">
        <v>3177</v>
      </c>
      <c r="G156" s="83" t="s">
        <v>3179</v>
      </c>
      <c r="H156" s="83" t="s">
        <v>3183</v>
      </c>
      <c r="I156" s="83" t="s">
        <v>3181</v>
      </c>
      <c r="J156" s="83" t="s">
        <v>3187</v>
      </c>
      <c r="K156" s="89" t="s">
        <v>3180</v>
      </c>
    </row>
    <row r="157" spans="2:11" x14ac:dyDescent="0.25">
      <c r="B157" s="88">
        <v>152</v>
      </c>
      <c r="C157" s="83" t="s">
        <v>3349</v>
      </c>
      <c r="D157" s="83" t="s">
        <v>3178</v>
      </c>
      <c r="E157" s="83" t="s">
        <v>3185</v>
      </c>
      <c r="F157" s="83" t="s">
        <v>3177</v>
      </c>
      <c r="G157" s="83" t="s">
        <v>3179</v>
      </c>
      <c r="H157" s="83" t="s">
        <v>3183</v>
      </c>
      <c r="I157" s="83" t="s">
        <v>3181</v>
      </c>
      <c r="J157" s="83" t="s">
        <v>3180</v>
      </c>
      <c r="K157" s="89" t="s">
        <v>3186</v>
      </c>
    </row>
    <row r="158" spans="2:11" x14ac:dyDescent="0.25">
      <c r="B158" s="88">
        <v>153</v>
      </c>
      <c r="C158" s="83" t="s">
        <v>3350</v>
      </c>
      <c r="D158" s="83" t="s">
        <v>3178</v>
      </c>
      <c r="E158" s="83" t="s">
        <v>3180</v>
      </c>
      <c r="F158" s="83" t="s">
        <v>3177</v>
      </c>
      <c r="G158" s="83" t="s">
        <v>3179</v>
      </c>
      <c r="H158" s="83" t="s">
        <v>3183</v>
      </c>
      <c r="I158" s="83" t="s">
        <v>3181</v>
      </c>
      <c r="J158" s="83" t="s">
        <v>3187</v>
      </c>
      <c r="K158" s="89" t="s">
        <v>3184</v>
      </c>
    </row>
    <row r="159" spans="2:11" x14ac:dyDescent="0.25">
      <c r="B159" s="88">
        <v>154</v>
      </c>
      <c r="C159" s="83" t="s">
        <v>3351</v>
      </c>
      <c r="D159" s="83" t="s">
        <v>3178</v>
      </c>
      <c r="E159" s="83" t="s">
        <v>3180</v>
      </c>
      <c r="F159" s="83" t="s">
        <v>3177</v>
      </c>
      <c r="G159" s="83" t="s">
        <v>3179</v>
      </c>
      <c r="H159" s="83" t="s">
        <v>3183</v>
      </c>
      <c r="I159" s="83" t="s">
        <v>3181</v>
      </c>
      <c r="J159" s="83" t="s">
        <v>3184</v>
      </c>
      <c r="K159" s="89" t="s">
        <v>3186</v>
      </c>
    </row>
    <row r="160" spans="2:11" x14ac:dyDescent="0.25">
      <c r="B160" s="88">
        <v>155</v>
      </c>
      <c r="C160" s="83" t="s">
        <v>3352</v>
      </c>
      <c r="D160" s="83" t="s">
        <v>3178</v>
      </c>
      <c r="E160" s="83" t="s">
        <v>3185</v>
      </c>
      <c r="F160" s="83" t="s">
        <v>3177</v>
      </c>
      <c r="G160" s="83" t="s">
        <v>3179</v>
      </c>
      <c r="H160" s="83" t="s">
        <v>3183</v>
      </c>
      <c r="I160" s="83" t="s">
        <v>3181</v>
      </c>
      <c r="J160" s="83" t="s">
        <v>3180</v>
      </c>
      <c r="K160" s="89" t="s">
        <v>3184</v>
      </c>
    </row>
    <row r="161" spans="2:11" x14ac:dyDescent="0.25">
      <c r="B161" s="88">
        <v>156</v>
      </c>
      <c r="C161" s="83" t="s">
        <v>3353</v>
      </c>
      <c r="D161" s="83" t="s">
        <v>3178</v>
      </c>
      <c r="E161" s="83" t="s">
        <v>3182</v>
      </c>
      <c r="F161" s="83" t="s">
        <v>3177</v>
      </c>
      <c r="G161" s="83" t="s">
        <v>3179</v>
      </c>
      <c r="H161" s="83" t="s">
        <v>3180</v>
      </c>
      <c r="I161" s="83" t="s">
        <v>3181</v>
      </c>
      <c r="J161" s="83" t="s">
        <v>3187</v>
      </c>
      <c r="K161" s="89" t="s">
        <v>3186</v>
      </c>
    </row>
    <row r="162" spans="2:11" x14ac:dyDescent="0.25">
      <c r="B162" s="88">
        <v>157</v>
      </c>
      <c r="C162" s="83" t="s">
        <v>3354</v>
      </c>
      <c r="D162" s="83" t="s">
        <v>3178</v>
      </c>
      <c r="E162" s="83" t="s">
        <v>3182</v>
      </c>
      <c r="F162" s="83" t="s">
        <v>3177</v>
      </c>
      <c r="G162" s="83" t="s">
        <v>3179</v>
      </c>
      <c r="H162" s="83" t="s">
        <v>3185</v>
      </c>
      <c r="I162" s="83" t="s">
        <v>3181</v>
      </c>
      <c r="J162" s="83" t="s">
        <v>3187</v>
      </c>
      <c r="K162" s="89" t="s">
        <v>3180</v>
      </c>
    </row>
    <row r="163" spans="2:11" x14ac:dyDescent="0.25">
      <c r="B163" s="88">
        <v>158</v>
      </c>
      <c r="C163" s="83" t="s">
        <v>3355</v>
      </c>
      <c r="D163" s="83" t="s">
        <v>3178</v>
      </c>
      <c r="E163" s="83" t="s">
        <v>3182</v>
      </c>
      <c r="F163" s="83" t="s">
        <v>3177</v>
      </c>
      <c r="G163" s="83" t="s">
        <v>3179</v>
      </c>
      <c r="H163" s="83" t="s">
        <v>3185</v>
      </c>
      <c r="I163" s="83" t="s">
        <v>3181</v>
      </c>
      <c r="J163" s="83" t="s">
        <v>3180</v>
      </c>
      <c r="K163" s="89" t="s">
        <v>3186</v>
      </c>
    </row>
    <row r="164" spans="2:11" x14ac:dyDescent="0.25">
      <c r="B164" s="88">
        <v>159</v>
      </c>
      <c r="C164" s="83" t="s">
        <v>3356</v>
      </c>
      <c r="D164" s="83" t="s">
        <v>3178</v>
      </c>
      <c r="E164" s="83" t="s">
        <v>3182</v>
      </c>
      <c r="F164" s="83" t="s">
        <v>3177</v>
      </c>
      <c r="G164" s="83" t="s">
        <v>3179</v>
      </c>
      <c r="H164" s="83" t="s">
        <v>3180</v>
      </c>
      <c r="I164" s="83" t="s">
        <v>3181</v>
      </c>
      <c r="J164" s="83" t="s">
        <v>3187</v>
      </c>
      <c r="K164" s="89" t="s">
        <v>3184</v>
      </c>
    </row>
    <row r="165" spans="2:11" x14ac:dyDescent="0.25">
      <c r="B165" s="88">
        <v>160</v>
      </c>
      <c r="C165" s="83" t="s">
        <v>3357</v>
      </c>
      <c r="D165" s="83" t="s">
        <v>3178</v>
      </c>
      <c r="E165" s="83" t="s">
        <v>3182</v>
      </c>
      <c r="F165" s="83" t="s">
        <v>3177</v>
      </c>
      <c r="G165" s="83" t="s">
        <v>3179</v>
      </c>
      <c r="H165" s="83" t="s">
        <v>3180</v>
      </c>
      <c r="I165" s="83" t="s">
        <v>3181</v>
      </c>
      <c r="J165" s="83" t="s">
        <v>3184</v>
      </c>
      <c r="K165" s="89" t="s">
        <v>3186</v>
      </c>
    </row>
    <row r="166" spans="2:11" x14ac:dyDescent="0.25">
      <c r="B166" s="88">
        <v>161</v>
      </c>
      <c r="C166" s="83" t="s">
        <v>3358</v>
      </c>
      <c r="D166" s="83" t="s">
        <v>3178</v>
      </c>
      <c r="E166" s="83" t="s">
        <v>3182</v>
      </c>
      <c r="F166" s="83" t="s">
        <v>3177</v>
      </c>
      <c r="G166" s="83" t="s">
        <v>3179</v>
      </c>
      <c r="H166" s="83" t="s">
        <v>3185</v>
      </c>
      <c r="I166" s="83" t="s">
        <v>3181</v>
      </c>
      <c r="J166" s="83" t="s">
        <v>3180</v>
      </c>
      <c r="K166" s="89" t="s">
        <v>3184</v>
      </c>
    </row>
    <row r="167" spans="2:11" x14ac:dyDescent="0.25">
      <c r="B167" s="88">
        <v>162</v>
      </c>
      <c r="C167" s="83" t="s">
        <v>3359</v>
      </c>
      <c r="D167" s="83" t="s">
        <v>3178</v>
      </c>
      <c r="E167" s="83" t="s">
        <v>3182</v>
      </c>
      <c r="F167" s="83" t="s">
        <v>3177</v>
      </c>
      <c r="G167" s="83" t="s">
        <v>3179</v>
      </c>
      <c r="H167" s="83" t="s">
        <v>3183</v>
      </c>
      <c r="I167" s="83" t="s">
        <v>3181</v>
      </c>
      <c r="J167" s="83" t="s">
        <v>3187</v>
      </c>
      <c r="K167" s="89" t="s">
        <v>3180</v>
      </c>
    </row>
    <row r="168" spans="2:11" x14ac:dyDescent="0.25">
      <c r="B168" s="88">
        <v>163</v>
      </c>
      <c r="C168" s="83" t="s">
        <v>3360</v>
      </c>
      <c r="D168" s="83" t="s">
        <v>3178</v>
      </c>
      <c r="E168" s="83" t="s">
        <v>3182</v>
      </c>
      <c r="F168" s="83" t="s">
        <v>3177</v>
      </c>
      <c r="G168" s="83" t="s">
        <v>3179</v>
      </c>
      <c r="H168" s="83" t="s">
        <v>3183</v>
      </c>
      <c r="I168" s="83" t="s">
        <v>3181</v>
      </c>
      <c r="J168" s="83" t="s">
        <v>3180</v>
      </c>
      <c r="K168" s="89" t="s">
        <v>3186</v>
      </c>
    </row>
    <row r="169" spans="2:11" x14ac:dyDescent="0.25">
      <c r="B169" s="88">
        <v>164</v>
      </c>
      <c r="C169" s="83" t="s">
        <v>3361</v>
      </c>
      <c r="D169" s="83" t="s">
        <v>3183</v>
      </c>
      <c r="E169" s="83" t="s">
        <v>3182</v>
      </c>
      <c r="F169" s="83" t="s">
        <v>3177</v>
      </c>
      <c r="G169" s="83" t="s">
        <v>3178</v>
      </c>
      <c r="H169" s="83" t="s">
        <v>3185</v>
      </c>
      <c r="I169" s="83" t="s">
        <v>3181</v>
      </c>
      <c r="J169" s="83" t="s">
        <v>3179</v>
      </c>
      <c r="K169" s="89" t="s">
        <v>3180</v>
      </c>
    </row>
    <row r="170" spans="2:11" x14ac:dyDescent="0.25">
      <c r="B170" s="88">
        <v>165</v>
      </c>
      <c r="C170" s="83" t="s">
        <v>3362</v>
      </c>
      <c r="D170" s="83" t="s">
        <v>3178</v>
      </c>
      <c r="E170" s="83" t="s">
        <v>3182</v>
      </c>
      <c r="F170" s="83" t="s">
        <v>3177</v>
      </c>
      <c r="G170" s="83" t="s">
        <v>3179</v>
      </c>
      <c r="H170" s="83" t="s">
        <v>3183</v>
      </c>
      <c r="I170" s="83" t="s">
        <v>3181</v>
      </c>
      <c r="J170" s="83" t="s">
        <v>3180</v>
      </c>
      <c r="K170" s="89" t="s">
        <v>3184</v>
      </c>
    </row>
    <row r="171" spans="2:11" x14ac:dyDescent="0.25">
      <c r="B171" s="88">
        <v>166</v>
      </c>
      <c r="C171" s="83" t="s">
        <v>3363</v>
      </c>
      <c r="D171" s="83" t="s">
        <v>3183</v>
      </c>
      <c r="E171" s="83" t="s">
        <v>3185</v>
      </c>
      <c r="F171" s="83" t="s">
        <v>3184</v>
      </c>
      <c r="G171" s="83" t="s">
        <v>3181</v>
      </c>
      <c r="H171" s="83" t="s">
        <v>3176</v>
      </c>
      <c r="I171" s="83" t="s">
        <v>3182</v>
      </c>
      <c r="J171" s="83" t="s">
        <v>3187</v>
      </c>
      <c r="K171" s="89" t="s">
        <v>3186</v>
      </c>
    </row>
    <row r="172" spans="2:11" x14ac:dyDescent="0.25">
      <c r="B172" s="88">
        <v>167</v>
      </c>
      <c r="C172" s="83" t="s">
        <v>3364</v>
      </c>
      <c r="D172" s="83" t="s">
        <v>3180</v>
      </c>
      <c r="E172" s="83" t="s">
        <v>3185</v>
      </c>
      <c r="F172" s="83" t="s">
        <v>3184</v>
      </c>
      <c r="G172" s="83" t="s">
        <v>3176</v>
      </c>
      <c r="H172" s="83" t="s">
        <v>3183</v>
      </c>
      <c r="I172" s="83" t="s">
        <v>3182</v>
      </c>
      <c r="J172" s="83" t="s">
        <v>3187</v>
      </c>
      <c r="K172" s="89" t="s">
        <v>3186</v>
      </c>
    </row>
    <row r="173" spans="2:11" x14ac:dyDescent="0.25">
      <c r="B173" s="88">
        <v>168</v>
      </c>
      <c r="C173" s="83" t="s">
        <v>3365</v>
      </c>
      <c r="D173" s="83" t="s">
        <v>3180</v>
      </c>
      <c r="E173" s="83" t="s">
        <v>3185</v>
      </c>
      <c r="F173" s="83" t="s">
        <v>3184</v>
      </c>
      <c r="G173" s="83" t="s">
        <v>3181</v>
      </c>
      <c r="H173" s="83" t="s">
        <v>3176</v>
      </c>
      <c r="I173" s="83" t="s">
        <v>3183</v>
      </c>
      <c r="J173" s="83" t="s">
        <v>3187</v>
      </c>
      <c r="K173" s="89" t="s">
        <v>3186</v>
      </c>
    </row>
    <row r="174" spans="2:11" x14ac:dyDescent="0.25">
      <c r="B174" s="88">
        <v>169</v>
      </c>
      <c r="C174" s="83" t="s">
        <v>3366</v>
      </c>
      <c r="D174" s="83" t="s">
        <v>3180</v>
      </c>
      <c r="E174" s="83" t="s">
        <v>3185</v>
      </c>
      <c r="F174" s="83" t="s">
        <v>3184</v>
      </c>
      <c r="G174" s="83" t="s">
        <v>3181</v>
      </c>
      <c r="H174" s="83" t="s">
        <v>3176</v>
      </c>
      <c r="I174" s="83" t="s">
        <v>3182</v>
      </c>
      <c r="J174" s="83" t="s">
        <v>3187</v>
      </c>
      <c r="K174" s="89" t="s">
        <v>3186</v>
      </c>
    </row>
    <row r="175" spans="2:11" x14ac:dyDescent="0.25">
      <c r="B175" s="88">
        <v>170</v>
      </c>
      <c r="C175" s="83" t="s">
        <v>3367</v>
      </c>
      <c r="D175" s="83" t="s">
        <v>3180</v>
      </c>
      <c r="E175" s="83" t="s">
        <v>3182</v>
      </c>
      <c r="F175" s="83" t="s">
        <v>3185</v>
      </c>
      <c r="G175" s="83" t="s">
        <v>3181</v>
      </c>
      <c r="H175" s="83" t="s">
        <v>3176</v>
      </c>
      <c r="I175" s="83" t="s">
        <v>3183</v>
      </c>
      <c r="J175" s="83" t="s">
        <v>3187</v>
      </c>
      <c r="K175" s="89" t="s">
        <v>3186</v>
      </c>
    </row>
    <row r="176" spans="2:11" x14ac:dyDescent="0.25">
      <c r="B176" s="88">
        <v>171</v>
      </c>
      <c r="C176" s="83" t="s">
        <v>3368</v>
      </c>
      <c r="D176" s="83" t="s">
        <v>3180</v>
      </c>
      <c r="E176" s="83" t="s">
        <v>3182</v>
      </c>
      <c r="F176" s="83" t="s">
        <v>3184</v>
      </c>
      <c r="G176" s="83" t="s">
        <v>3181</v>
      </c>
      <c r="H176" s="83" t="s">
        <v>3176</v>
      </c>
      <c r="I176" s="83" t="s">
        <v>3183</v>
      </c>
      <c r="J176" s="83" t="s">
        <v>3187</v>
      </c>
      <c r="K176" s="89" t="s">
        <v>3186</v>
      </c>
    </row>
    <row r="177" spans="2:11" x14ac:dyDescent="0.25">
      <c r="B177" s="88">
        <v>172</v>
      </c>
      <c r="C177" s="83" t="s">
        <v>3369</v>
      </c>
      <c r="D177" s="83" t="s">
        <v>3180</v>
      </c>
      <c r="E177" s="83" t="s">
        <v>3182</v>
      </c>
      <c r="F177" s="83" t="s">
        <v>3185</v>
      </c>
      <c r="G177" s="83" t="s">
        <v>3181</v>
      </c>
      <c r="H177" s="83" t="s">
        <v>3176</v>
      </c>
      <c r="I177" s="83" t="s">
        <v>3183</v>
      </c>
      <c r="J177" s="83" t="s">
        <v>3187</v>
      </c>
      <c r="K177" s="89" t="s">
        <v>3184</v>
      </c>
    </row>
    <row r="178" spans="2:11" x14ac:dyDescent="0.25">
      <c r="B178" s="88">
        <v>173</v>
      </c>
      <c r="C178" s="83" t="s">
        <v>3370</v>
      </c>
      <c r="D178" s="83" t="s">
        <v>3180</v>
      </c>
      <c r="E178" s="83" t="s">
        <v>3182</v>
      </c>
      <c r="F178" s="83" t="s">
        <v>3185</v>
      </c>
      <c r="G178" s="83" t="s">
        <v>3181</v>
      </c>
      <c r="H178" s="83" t="s">
        <v>3176</v>
      </c>
      <c r="I178" s="83" t="s">
        <v>3183</v>
      </c>
      <c r="J178" s="83" t="s">
        <v>3184</v>
      </c>
      <c r="K178" s="89" t="s">
        <v>3186</v>
      </c>
    </row>
    <row r="179" spans="2:11" x14ac:dyDescent="0.25">
      <c r="B179" s="88">
        <v>174</v>
      </c>
      <c r="C179" s="83" t="s">
        <v>3371</v>
      </c>
      <c r="D179" s="83" t="s">
        <v>3183</v>
      </c>
      <c r="E179" s="83" t="s">
        <v>3185</v>
      </c>
      <c r="F179" s="83" t="s">
        <v>3184</v>
      </c>
      <c r="G179" s="83" t="s">
        <v>3179</v>
      </c>
      <c r="H179" s="83" t="s">
        <v>3176</v>
      </c>
      <c r="I179" s="83" t="s">
        <v>3182</v>
      </c>
      <c r="J179" s="83" t="s">
        <v>3187</v>
      </c>
      <c r="K179" s="89" t="s">
        <v>3186</v>
      </c>
    </row>
    <row r="180" spans="2:11" x14ac:dyDescent="0.25">
      <c r="B180" s="88">
        <v>175</v>
      </c>
      <c r="C180" s="83" t="s">
        <v>3372</v>
      </c>
      <c r="D180" s="83" t="s">
        <v>3183</v>
      </c>
      <c r="E180" s="83" t="s">
        <v>3185</v>
      </c>
      <c r="F180" s="83" t="s">
        <v>3184</v>
      </c>
      <c r="G180" s="83" t="s">
        <v>3179</v>
      </c>
      <c r="H180" s="83" t="s">
        <v>3176</v>
      </c>
      <c r="I180" s="83" t="s">
        <v>3181</v>
      </c>
      <c r="J180" s="83" t="s">
        <v>3187</v>
      </c>
      <c r="K180" s="89" t="s">
        <v>3186</v>
      </c>
    </row>
    <row r="181" spans="2:11" x14ac:dyDescent="0.25">
      <c r="B181" s="88">
        <v>176</v>
      </c>
      <c r="C181" s="83" t="s">
        <v>3373</v>
      </c>
      <c r="D181" s="83" t="s">
        <v>3184</v>
      </c>
      <c r="E181" s="83" t="s">
        <v>3182</v>
      </c>
      <c r="F181" s="83" t="s">
        <v>3185</v>
      </c>
      <c r="G181" s="83" t="s">
        <v>3179</v>
      </c>
      <c r="H181" s="83" t="s">
        <v>3176</v>
      </c>
      <c r="I181" s="83" t="s">
        <v>3181</v>
      </c>
      <c r="J181" s="83" t="s">
        <v>3187</v>
      </c>
      <c r="K181" s="89" t="s">
        <v>3186</v>
      </c>
    </row>
    <row r="182" spans="2:11" x14ac:dyDescent="0.25">
      <c r="B182" s="88">
        <v>177</v>
      </c>
      <c r="C182" s="83" t="s">
        <v>3374</v>
      </c>
      <c r="D182" s="83" t="s">
        <v>3183</v>
      </c>
      <c r="E182" s="83" t="s">
        <v>3182</v>
      </c>
      <c r="F182" s="83" t="s">
        <v>3185</v>
      </c>
      <c r="G182" s="83" t="s">
        <v>3179</v>
      </c>
      <c r="H182" s="83" t="s">
        <v>3176</v>
      </c>
      <c r="I182" s="83" t="s">
        <v>3181</v>
      </c>
      <c r="J182" s="83" t="s">
        <v>3187</v>
      </c>
      <c r="K182" s="89" t="s">
        <v>3186</v>
      </c>
    </row>
    <row r="183" spans="2:11" x14ac:dyDescent="0.25">
      <c r="B183" s="88">
        <v>178</v>
      </c>
      <c r="C183" s="83" t="s">
        <v>3375</v>
      </c>
      <c r="D183" s="83" t="s">
        <v>3183</v>
      </c>
      <c r="E183" s="83" t="s">
        <v>3182</v>
      </c>
      <c r="F183" s="83" t="s">
        <v>3184</v>
      </c>
      <c r="G183" s="83" t="s">
        <v>3179</v>
      </c>
      <c r="H183" s="83" t="s">
        <v>3176</v>
      </c>
      <c r="I183" s="83" t="s">
        <v>3181</v>
      </c>
      <c r="J183" s="83" t="s">
        <v>3187</v>
      </c>
      <c r="K183" s="89" t="s">
        <v>3186</v>
      </c>
    </row>
    <row r="184" spans="2:11" x14ac:dyDescent="0.25">
      <c r="B184" s="88">
        <v>179</v>
      </c>
      <c r="C184" s="83" t="s">
        <v>3376</v>
      </c>
      <c r="D184" s="83" t="s">
        <v>3183</v>
      </c>
      <c r="E184" s="83" t="s">
        <v>3182</v>
      </c>
      <c r="F184" s="83" t="s">
        <v>3185</v>
      </c>
      <c r="G184" s="83" t="s">
        <v>3179</v>
      </c>
      <c r="H184" s="83" t="s">
        <v>3176</v>
      </c>
      <c r="I184" s="83" t="s">
        <v>3181</v>
      </c>
      <c r="J184" s="83" t="s">
        <v>3187</v>
      </c>
      <c r="K184" s="89" t="s">
        <v>3184</v>
      </c>
    </row>
    <row r="185" spans="2:11" x14ac:dyDescent="0.25">
      <c r="B185" s="88">
        <v>180</v>
      </c>
      <c r="C185" s="83" t="s">
        <v>3377</v>
      </c>
      <c r="D185" s="83" t="s">
        <v>3183</v>
      </c>
      <c r="E185" s="83" t="s">
        <v>3182</v>
      </c>
      <c r="F185" s="83" t="s">
        <v>3185</v>
      </c>
      <c r="G185" s="83" t="s">
        <v>3179</v>
      </c>
      <c r="H185" s="83" t="s">
        <v>3176</v>
      </c>
      <c r="I185" s="83" t="s">
        <v>3181</v>
      </c>
      <c r="J185" s="83" t="s">
        <v>3184</v>
      </c>
      <c r="K185" s="89" t="s">
        <v>3186</v>
      </c>
    </row>
    <row r="186" spans="2:11" x14ac:dyDescent="0.25">
      <c r="B186" s="88">
        <v>181</v>
      </c>
      <c r="C186" s="83" t="s">
        <v>3378</v>
      </c>
      <c r="D186" s="83" t="s">
        <v>3180</v>
      </c>
      <c r="E186" s="83" t="s">
        <v>3185</v>
      </c>
      <c r="F186" s="83" t="s">
        <v>3184</v>
      </c>
      <c r="G186" s="83" t="s">
        <v>3179</v>
      </c>
      <c r="H186" s="83" t="s">
        <v>3176</v>
      </c>
      <c r="I186" s="83" t="s">
        <v>3183</v>
      </c>
      <c r="J186" s="83" t="s">
        <v>3187</v>
      </c>
      <c r="K186" s="89" t="s">
        <v>3186</v>
      </c>
    </row>
    <row r="187" spans="2:11" x14ac:dyDescent="0.25">
      <c r="B187" s="88">
        <v>182</v>
      </c>
      <c r="C187" s="83" t="s">
        <v>3379</v>
      </c>
      <c r="D187" s="83" t="s">
        <v>3180</v>
      </c>
      <c r="E187" s="83" t="s">
        <v>3185</v>
      </c>
      <c r="F187" s="83" t="s">
        <v>3184</v>
      </c>
      <c r="G187" s="83" t="s">
        <v>3179</v>
      </c>
      <c r="H187" s="83" t="s">
        <v>3176</v>
      </c>
      <c r="I187" s="83" t="s">
        <v>3182</v>
      </c>
      <c r="J187" s="83" t="s">
        <v>3187</v>
      </c>
      <c r="K187" s="89" t="s">
        <v>3186</v>
      </c>
    </row>
    <row r="188" spans="2:11" x14ac:dyDescent="0.25">
      <c r="B188" s="88">
        <v>183</v>
      </c>
      <c r="C188" s="83" t="s">
        <v>3380</v>
      </c>
      <c r="D188" s="83" t="s">
        <v>3180</v>
      </c>
      <c r="E188" s="83" t="s">
        <v>3182</v>
      </c>
      <c r="F188" s="83" t="s">
        <v>3185</v>
      </c>
      <c r="G188" s="83" t="s">
        <v>3179</v>
      </c>
      <c r="H188" s="83" t="s">
        <v>3176</v>
      </c>
      <c r="I188" s="83" t="s">
        <v>3183</v>
      </c>
      <c r="J188" s="83" t="s">
        <v>3187</v>
      </c>
      <c r="K188" s="89" t="s">
        <v>3186</v>
      </c>
    </row>
    <row r="189" spans="2:11" x14ac:dyDescent="0.25">
      <c r="B189" s="88">
        <v>184</v>
      </c>
      <c r="C189" s="83" t="s">
        <v>3381</v>
      </c>
      <c r="D189" s="83" t="s">
        <v>3180</v>
      </c>
      <c r="E189" s="83" t="s">
        <v>3182</v>
      </c>
      <c r="F189" s="83" t="s">
        <v>3184</v>
      </c>
      <c r="G189" s="83" t="s">
        <v>3179</v>
      </c>
      <c r="H189" s="83" t="s">
        <v>3176</v>
      </c>
      <c r="I189" s="83" t="s">
        <v>3183</v>
      </c>
      <c r="J189" s="83" t="s">
        <v>3187</v>
      </c>
      <c r="K189" s="89" t="s">
        <v>3186</v>
      </c>
    </row>
    <row r="190" spans="2:11" x14ac:dyDescent="0.25">
      <c r="B190" s="88">
        <v>185</v>
      </c>
      <c r="C190" s="83" t="s">
        <v>3382</v>
      </c>
      <c r="D190" s="83" t="s">
        <v>3180</v>
      </c>
      <c r="E190" s="83" t="s">
        <v>3182</v>
      </c>
      <c r="F190" s="83" t="s">
        <v>3185</v>
      </c>
      <c r="G190" s="83" t="s">
        <v>3179</v>
      </c>
      <c r="H190" s="83" t="s">
        <v>3176</v>
      </c>
      <c r="I190" s="83" t="s">
        <v>3183</v>
      </c>
      <c r="J190" s="83" t="s">
        <v>3187</v>
      </c>
      <c r="K190" s="89" t="s">
        <v>3184</v>
      </c>
    </row>
    <row r="191" spans="2:11" x14ac:dyDescent="0.25">
      <c r="B191" s="88">
        <v>186</v>
      </c>
      <c r="C191" s="83" t="s">
        <v>3383</v>
      </c>
      <c r="D191" s="83" t="s">
        <v>3180</v>
      </c>
      <c r="E191" s="83" t="s">
        <v>3182</v>
      </c>
      <c r="F191" s="83" t="s">
        <v>3185</v>
      </c>
      <c r="G191" s="83" t="s">
        <v>3179</v>
      </c>
      <c r="H191" s="83" t="s">
        <v>3176</v>
      </c>
      <c r="I191" s="83" t="s">
        <v>3183</v>
      </c>
      <c r="J191" s="83" t="s">
        <v>3184</v>
      </c>
      <c r="K191" s="89" t="s">
        <v>3186</v>
      </c>
    </row>
    <row r="192" spans="2:11" x14ac:dyDescent="0.25">
      <c r="B192" s="88">
        <v>187</v>
      </c>
      <c r="C192" s="83" t="s">
        <v>3384</v>
      </c>
      <c r="D192" s="83" t="s">
        <v>3180</v>
      </c>
      <c r="E192" s="83" t="s">
        <v>3185</v>
      </c>
      <c r="F192" s="83" t="s">
        <v>3184</v>
      </c>
      <c r="G192" s="83" t="s">
        <v>3179</v>
      </c>
      <c r="H192" s="83" t="s">
        <v>3176</v>
      </c>
      <c r="I192" s="83" t="s">
        <v>3181</v>
      </c>
      <c r="J192" s="83" t="s">
        <v>3187</v>
      </c>
      <c r="K192" s="89" t="s">
        <v>3186</v>
      </c>
    </row>
    <row r="193" spans="2:11" x14ac:dyDescent="0.25">
      <c r="B193" s="88">
        <v>188</v>
      </c>
      <c r="C193" s="83" t="s">
        <v>3385</v>
      </c>
      <c r="D193" s="83" t="s">
        <v>3183</v>
      </c>
      <c r="E193" s="83" t="s">
        <v>3185</v>
      </c>
      <c r="F193" s="83" t="s">
        <v>3180</v>
      </c>
      <c r="G193" s="83" t="s">
        <v>3179</v>
      </c>
      <c r="H193" s="83" t="s">
        <v>3176</v>
      </c>
      <c r="I193" s="83" t="s">
        <v>3181</v>
      </c>
      <c r="J193" s="83" t="s">
        <v>3187</v>
      </c>
      <c r="K193" s="89" t="s">
        <v>3186</v>
      </c>
    </row>
    <row r="194" spans="2:11" x14ac:dyDescent="0.25">
      <c r="B194" s="88">
        <v>189</v>
      </c>
      <c r="C194" s="83" t="s">
        <v>3386</v>
      </c>
      <c r="D194" s="83" t="s">
        <v>3183</v>
      </c>
      <c r="E194" s="83" t="s">
        <v>3180</v>
      </c>
      <c r="F194" s="83" t="s">
        <v>3184</v>
      </c>
      <c r="G194" s="83" t="s">
        <v>3179</v>
      </c>
      <c r="H194" s="83" t="s">
        <v>3176</v>
      </c>
      <c r="I194" s="83" t="s">
        <v>3181</v>
      </c>
      <c r="J194" s="83" t="s">
        <v>3187</v>
      </c>
      <c r="K194" s="89" t="s">
        <v>3186</v>
      </c>
    </row>
    <row r="195" spans="2:11" x14ac:dyDescent="0.25">
      <c r="B195" s="88">
        <v>190</v>
      </c>
      <c r="C195" s="83" t="s">
        <v>3387</v>
      </c>
      <c r="D195" s="83" t="s">
        <v>3183</v>
      </c>
      <c r="E195" s="83" t="s">
        <v>3185</v>
      </c>
      <c r="F195" s="83" t="s">
        <v>3180</v>
      </c>
      <c r="G195" s="83" t="s">
        <v>3179</v>
      </c>
      <c r="H195" s="83" t="s">
        <v>3176</v>
      </c>
      <c r="I195" s="83" t="s">
        <v>3181</v>
      </c>
      <c r="J195" s="83" t="s">
        <v>3187</v>
      </c>
      <c r="K195" s="89" t="s">
        <v>3184</v>
      </c>
    </row>
    <row r="196" spans="2:11" x14ac:dyDescent="0.25">
      <c r="B196" s="88">
        <v>191</v>
      </c>
      <c r="C196" s="83" t="s">
        <v>3388</v>
      </c>
      <c r="D196" s="83" t="s">
        <v>3183</v>
      </c>
      <c r="E196" s="83" t="s">
        <v>3185</v>
      </c>
      <c r="F196" s="83" t="s">
        <v>3180</v>
      </c>
      <c r="G196" s="83" t="s">
        <v>3179</v>
      </c>
      <c r="H196" s="83" t="s">
        <v>3176</v>
      </c>
      <c r="I196" s="83" t="s">
        <v>3181</v>
      </c>
      <c r="J196" s="83" t="s">
        <v>3184</v>
      </c>
      <c r="K196" s="89" t="s">
        <v>3186</v>
      </c>
    </row>
    <row r="197" spans="2:11" x14ac:dyDescent="0.25">
      <c r="B197" s="88">
        <v>192</v>
      </c>
      <c r="C197" s="83" t="s">
        <v>3389</v>
      </c>
      <c r="D197" s="83" t="s">
        <v>3180</v>
      </c>
      <c r="E197" s="83" t="s">
        <v>3182</v>
      </c>
      <c r="F197" s="83" t="s">
        <v>3185</v>
      </c>
      <c r="G197" s="83" t="s">
        <v>3179</v>
      </c>
      <c r="H197" s="83" t="s">
        <v>3176</v>
      </c>
      <c r="I197" s="83" t="s">
        <v>3181</v>
      </c>
      <c r="J197" s="83" t="s">
        <v>3187</v>
      </c>
      <c r="K197" s="89" t="s">
        <v>3186</v>
      </c>
    </row>
    <row r="198" spans="2:11" x14ac:dyDescent="0.25">
      <c r="B198" s="88">
        <v>193</v>
      </c>
      <c r="C198" s="83" t="s">
        <v>3390</v>
      </c>
      <c r="D198" s="83" t="s">
        <v>3180</v>
      </c>
      <c r="E198" s="83" t="s">
        <v>3182</v>
      </c>
      <c r="F198" s="83" t="s">
        <v>3184</v>
      </c>
      <c r="G198" s="83" t="s">
        <v>3179</v>
      </c>
      <c r="H198" s="83" t="s">
        <v>3176</v>
      </c>
      <c r="I198" s="83" t="s">
        <v>3181</v>
      </c>
      <c r="J198" s="83" t="s">
        <v>3187</v>
      </c>
      <c r="K198" s="89" t="s">
        <v>3186</v>
      </c>
    </row>
    <row r="199" spans="2:11" x14ac:dyDescent="0.25">
      <c r="B199" s="88">
        <v>194</v>
      </c>
      <c r="C199" s="83" t="s">
        <v>3391</v>
      </c>
      <c r="D199" s="83" t="s">
        <v>3180</v>
      </c>
      <c r="E199" s="83" t="s">
        <v>3182</v>
      </c>
      <c r="F199" s="83" t="s">
        <v>3185</v>
      </c>
      <c r="G199" s="83" t="s">
        <v>3179</v>
      </c>
      <c r="H199" s="83" t="s">
        <v>3176</v>
      </c>
      <c r="I199" s="83" t="s">
        <v>3181</v>
      </c>
      <c r="J199" s="83" t="s">
        <v>3187</v>
      </c>
      <c r="K199" s="89" t="s">
        <v>3184</v>
      </c>
    </row>
    <row r="200" spans="2:11" x14ac:dyDescent="0.25">
      <c r="B200" s="88">
        <v>195</v>
      </c>
      <c r="C200" s="83" t="s">
        <v>3392</v>
      </c>
      <c r="D200" s="83" t="s">
        <v>3180</v>
      </c>
      <c r="E200" s="83" t="s">
        <v>3182</v>
      </c>
      <c r="F200" s="83" t="s">
        <v>3185</v>
      </c>
      <c r="G200" s="83" t="s">
        <v>3179</v>
      </c>
      <c r="H200" s="83" t="s">
        <v>3176</v>
      </c>
      <c r="I200" s="83" t="s">
        <v>3181</v>
      </c>
      <c r="J200" s="83" t="s">
        <v>3184</v>
      </c>
      <c r="K200" s="89" t="s">
        <v>3186</v>
      </c>
    </row>
    <row r="201" spans="2:11" x14ac:dyDescent="0.25">
      <c r="B201" s="88">
        <v>196</v>
      </c>
      <c r="C201" s="83" t="s">
        <v>3393</v>
      </c>
      <c r="D201" s="83" t="s">
        <v>3183</v>
      </c>
      <c r="E201" s="83" t="s">
        <v>3182</v>
      </c>
      <c r="F201" s="83" t="s">
        <v>3180</v>
      </c>
      <c r="G201" s="83" t="s">
        <v>3179</v>
      </c>
      <c r="H201" s="83" t="s">
        <v>3176</v>
      </c>
      <c r="I201" s="83" t="s">
        <v>3181</v>
      </c>
      <c r="J201" s="83" t="s">
        <v>3187</v>
      </c>
      <c r="K201" s="89" t="s">
        <v>3186</v>
      </c>
    </row>
    <row r="202" spans="2:11" x14ac:dyDescent="0.25">
      <c r="B202" s="88">
        <v>197</v>
      </c>
      <c r="C202" s="83" t="s">
        <v>3394</v>
      </c>
      <c r="D202" s="83" t="s">
        <v>3183</v>
      </c>
      <c r="E202" s="83" t="s">
        <v>3182</v>
      </c>
      <c r="F202" s="83" t="s">
        <v>3185</v>
      </c>
      <c r="G202" s="83" t="s">
        <v>3179</v>
      </c>
      <c r="H202" s="83" t="s">
        <v>3176</v>
      </c>
      <c r="I202" s="83" t="s">
        <v>3181</v>
      </c>
      <c r="J202" s="83" t="s">
        <v>3187</v>
      </c>
      <c r="K202" s="89" t="s">
        <v>3180</v>
      </c>
    </row>
    <row r="203" spans="2:11" x14ac:dyDescent="0.25">
      <c r="B203" s="88">
        <v>198</v>
      </c>
      <c r="C203" s="83" t="s">
        <v>3395</v>
      </c>
      <c r="D203" s="83" t="s">
        <v>3183</v>
      </c>
      <c r="E203" s="83" t="s">
        <v>3182</v>
      </c>
      <c r="F203" s="83" t="s">
        <v>3185</v>
      </c>
      <c r="G203" s="83" t="s">
        <v>3179</v>
      </c>
      <c r="H203" s="83" t="s">
        <v>3176</v>
      </c>
      <c r="I203" s="83" t="s">
        <v>3181</v>
      </c>
      <c r="J203" s="83" t="s">
        <v>3180</v>
      </c>
      <c r="K203" s="89" t="s">
        <v>3186</v>
      </c>
    </row>
    <row r="204" spans="2:11" x14ac:dyDescent="0.25">
      <c r="B204" s="88">
        <v>199</v>
      </c>
      <c r="C204" s="83" t="s">
        <v>3396</v>
      </c>
      <c r="D204" s="83" t="s">
        <v>3183</v>
      </c>
      <c r="E204" s="83" t="s">
        <v>3182</v>
      </c>
      <c r="F204" s="83" t="s">
        <v>3180</v>
      </c>
      <c r="G204" s="83" t="s">
        <v>3179</v>
      </c>
      <c r="H204" s="83" t="s">
        <v>3176</v>
      </c>
      <c r="I204" s="83" t="s">
        <v>3181</v>
      </c>
      <c r="J204" s="83" t="s">
        <v>3187</v>
      </c>
      <c r="K204" s="89" t="s">
        <v>3184</v>
      </c>
    </row>
    <row r="205" spans="2:11" x14ac:dyDescent="0.25">
      <c r="B205" s="88">
        <v>200</v>
      </c>
      <c r="C205" s="83" t="s">
        <v>3397</v>
      </c>
      <c r="D205" s="83" t="s">
        <v>3183</v>
      </c>
      <c r="E205" s="83" t="s">
        <v>3182</v>
      </c>
      <c r="F205" s="83" t="s">
        <v>3180</v>
      </c>
      <c r="G205" s="83" t="s">
        <v>3179</v>
      </c>
      <c r="H205" s="83" t="s">
        <v>3176</v>
      </c>
      <c r="I205" s="83" t="s">
        <v>3181</v>
      </c>
      <c r="J205" s="83" t="s">
        <v>3184</v>
      </c>
      <c r="K205" s="89" t="s">
        <v>3186</v>
      </c>
    </row>
    <row r="206" spans="2:11" x14ac:dyDescent="0.25">
      <c r="B206" s="88">
        <v>201</v>
      </c>
      <c r="C206" s="83" t="s">
        <v>3398</v>
      </c>
      <c r="D206" s="83" t="s">
        <v>3183</v>
      </c>
      <c r="E206" s="83" t="s">
        <v>3182</v>
      </c>
      <c r="F206" s="83" t="s">
        <v>3185</v>
      </c>
      <c r="G206" s="83" t="s">
        <v>3179</v>
      </c>
      <c r="H206" s="83" t="s">
        <v>3176</v>
      </c>
      <c r="I206" s="83" t="s">
        <v>3181</v>
      </c>
      <c r="J206" s="83" t="s">
        <v>3180</v>
      </c>
      <c r="K206" s="89" t="s">
        <v>3184</v>
      </c>
    </row>
    <row r="207" spans="2:11" x14ac:dyDescent="0.25">
      <c r="B207" s="88">
        <v>202</v>
      </c>
      <c r="C207" s="83" t="s">
        <v>3399</v>
      </c>
      <c r="D207" s="83" t="s">
        <v>3183</v>
      </c>
      <c r="E207" s="83" t="s">
        <v>3185</v>
      </c>
      <c r="F207" s="83" t="s">
        <v>3184</v>
      </c>
      <c r="G207" s="83" t="s">
        <v>3178</v>
      </c>
      <c r="H207" s="83" t="s">
        <v>3176</v>
      </c>
      <c r="I207" s="83" t="s">
        <v>3182</v>
      </c>
      <c r="J207" s="83" t="s">
        <v>3187</v>
      </c>
      <c r="K207" s="89" t="s">
        <v>3186</v>
      </c>
    </row>
    <row r="208" spans="2:11" x14ac:dyDescent="0.25">
      <c r="B208" s="88">
        <v>203</v>
      </c>
      <c r="C208" s="83" t="s">
        <v>3400</v>
      </c>
      <c r="D208" s="83" t="s">
        <v>3183</v>
      </c>
      <c r="E208" s="83" t="s">
        <v>3185</v>
      </c>
      <c r="F208" s="83" t="s">
        <v>3184</v>
      </c>
      <c r="G208" s="83" t="s">
        <v>3178</v>
      </c>
      <c r="H208" s="83" t="s">
        <v>3176</v>
      </c>
      <c r="I208" s="83" t="s">
        <v>3181</v>
      </c>
      <c r="J208" s="83" t="s">
        <v>3187</v>
      </c>
      <c r="K208" s="89" t="s">
        <v>3186</v>
      </c>
    </row>
    <row r="209" spans="2:11" x14ac:dyDescent="0.25">
      <c r="B209" s="88">
        <v>204</v>
      </c>
      <c r="C209" s="83" t="s">
        <v>3401</v>
      </c>
      <c r="D209" s="83" t="s">
        <v>3184</v>
      </c>
      <c r="E209" s="83" t="s">
        <v>3182</v>
      </c>
      <c r="F209" s="83" t="s">
        <v>3185</v>
      </c>
      <c r="G209" s="83" t="s">
        <v>3178</v>
      </c>
      <c r="H209" s="83" t="s">
        <v>3176</v>
      </c>
      <c r="I209" s="83" t="s">
        <v>3181</v>
      </c>
      <c r="J209" s="83" t="s">
        <v>3187</v>
      </c>
      <c r="K209" s="89" t="s">
        <v>3186</v>
      </c>
    </row>
    <row r="210" spans="2:11" x14ac:dyDescent="0.25">
      <c r="B210" s="88">
        <v>205</v>
      </c>
      <c r="C210" s="83" t="s">
        <v>3402</v>
      </c>
      <c r="D210" s="83" t="s">
        <v>3183</v>
      </c>
      <c r="E210" s="83" t="s">
        <v>3182</v>
      </c>
      <c r="F210" s="83" t="s">
        <v>3185</v>
      </c>
      <c r="G210" s="83" t="s">
        <v>3178</v>
      </c>
      <c r="H210" s="83" t="s">
        <v>3176</v>
      </c>
      <c r="I210" s="83" t="s">
        <v>3181</v>
      </c>
      <c r="J210" s="83" t="s">
        <v>3187</v>
      </c>
      <c r="K210" s="89" t="s">
        <v>3186</v>
      </c>
    </row>
    <row r="211" spans="2:11" x14ac:dyDescent="0.25">
      <c r="B211" s="88">
        <v>206</v>
      </c>
      <c r="C211" s="83" t="s">
        <v>3403</v>
      </c>
      <c r="D211" s="83" t="s">
        <v>3183</v>
      </c>
      <c r="E211" s="83" t="s">
        <v>3182</v>
      </c>
      <c r="F211" s="83" t="s">
        <v>3184</v>
      </c>
      <c r="G211" s="83" t="s">
        <v>3178</v>
      </c>
      <c r="H211" s="83" t="s">
        <v>3176</v>
      </c>
      <c r="I211" s="83" t="s">
        <v>3181</v>
      </c>
      <c r="J211" s="83" t="s">
        <v>3187</v>
      </c>
      <c r="K211" s="89" t="s">
        <v>3186</v>
      </c>
    </row>
    <row r="212" spans="2:11" x14ac:dyDescent="0.25">
      <c r="B212" s="88">
        <v>207</v>
      </c>
      <c r="C212" s="83" t="s">
        <v>3404</v>
      </c>
      <c r="D212" s="83" t="s">
        <v>3183</v>
      </c>
      <c r="E212" s="83" t="s">
        <v>3182</v>
      </c>
      <c r="F212" s="83" t="s">
        <v>3185</v>
      </c>
      <c r="G212" s="83" t="s">
        <v>3178</v>
      </c>
      <c r="H212" s="83" t="s">
        <v>3176</v>
      </c>
      <c r="I212" s="83" t="s">
        <v>3181</v>
      </c>
      <c r="J212" s="83" t="s">
        <v>3187</v>
      </c>
      <c r="K212" s="89" t="s">
        <v>3184</v>
      </c>
    </row>
    <row r="213" spans="2:11" x14ac:dyDescent="0.25">
      <c r="B213" s="88">
        <v>208</v>
      </c>
      <c r="C213" s="83" t="s">
        <v>3405</v>
      </c>
      <c r="D213" s="83" t="s">
        <v>3183</v>
      </c>
      <c r="E213" s="83" t="s">
        <v>3182</v>
      </c>
      <c r="F213" s="83" t="s">
        <v>3185</v>
      </c>
      <c r="G213" s="83" t="s">
        <v>3178</v>
      </c>
      <c r="H213" s="83" t="s">
        <v>3176</v>
      </c>
      <c r="I213" s="83" t="s">
        <v>3181</v>
      </c>
      <c r="J213" s="83" t="s">
        <v>3184</v>
      </c>
      <c r="K213" s="89" t="s">
        <v>3186</v>
      </c>
    </row>
    <row r="214" spans="2:11" x14ac:dyDescent="0.25">
      <c r="B214" s="88">
        <v>209</v>
      </c>
      <c r="C214" s="83" t="s">
        <v>3406</v>
      </c>
      <c r="D214" s="83" t="s">
        <v>3180</v>
      </c>
      <c r="E214" s="83" t="s">
        <v>3185</v>
      </c>
      <c r="F214" s="83" t="s">
        <v>3184</v>
      </c>
      <c r="G214" s="83" t="s">
        <v>3178</v>
      </c>
      <c r="H214" s="83" t="s">
        <v>3176</v>
      </c>
      <c r="I214" s="83" t="s">
        <v>3183</v>
      </c>
      <c r="J214" s="83" t="s">
        <v>3187</v>
      </c>
      <c r="K214" s="89" t="s">
        <v>3186</v>
      </c>
    </row>
    <row r="215" spans="2:11" x14ac:dyDescent="0.25">
      <c r="B215" s="88">
        <v>210</v>
      </c>
      <c r="C215" s="83" t="s">
        <v>3407</v>
      </c>
      <c r="D215" s="83" t="s">
        <v>3180</v>
      </c>
      <c r="E215" s="83" t="s">
        <v>3185</v>
      </c>
      <c r="F215" s="83" t="s">
        <v>3184</v>
      </c>
      <c r="G215" s="83" t="s">
        <v>3178</v>
      </c>
      <c r="H215" s="83" t="s">
        <v>3176</v>
      </c>
      <c r="I215" s="83" t="s">
        <v>3182</v>
      </c>
      <c r="J215" s="83" t="s">
        <v>3187</v>
      </c>
      <c r="K215" s="89" t="s">
        <v>3186</v>
      </c>
    </row>
    <row r="216" spans="2:11" x14ac:dyDescent="0.25">
      <c r="B216" s="88">
        <v>211</v>
      </c>
      <c r="C216" s="83" t="s">
        <v>3408</v>
      </c>
      <c r="D216" s="83" t="s">
        <v>3180</v>
      </c>
      <c r="E216" s="83" t="s">
        <v>3182</v>
      </c>
      <c r="F216" s="83" t="s">
        <v>3185</v>
      </c>
      <c r="G216" s="83" t="s">
        <v>3178</v>
      </c>
      <c r="H216" s="83" t="s">
        <v>3176</v>
      </c>
      <c r="I216" s="83" t="s">
        <v>3183</v>
      </c>
      <c r="J216" s="83" t="s">
        <v>3187</v>
      </c>
      <c r="K216" s="89" t="s">
        <v>3186</v>
      </c>
    </row>
    <row r="217" spans="2:11" x14ac:dyDescent="0.25">
      <c r="B217" s="88">
        <v>212</v>
      </c>
      <c r="C217" s="83" t="s">
        <v>3409</v>
      </c>
      <c r="D217" s="83" t="s">
        <v>3180</v>
      </c>
      <c r="E217" s="83" t="s">
        <v>3182</v>
      </c>
      <c r="F217" s="83" t="s">
        <v>3184</v>
      </c>
      <c r="G217" s="83" t="s">
        <v>3178</v>
      </c>
      <c r="H217" s="83" t="s">
        <v>3176</v>
      </c>
      <c r="I217" s="83" t="s">
        <v>3183</v>
      </c>
      <c r="J217" s="83" t="s">
        <v>3187</v>
      </c>
      <c r="K217" s="89" t="s">
        <v>3186</v>
      </c>
    </row>
    <row r="218" spans="2:11" x14ac:dyDescent="0.25">
      <c r="B218" s="88">
        <v>213</v>
      </c>
      <c r="C218" s="83" t="s">
        <v>3410</v>
      </c>
      <c r="D218" s="83" t="s">
        <v>3180</v>
      </c>
      <c r="E218" s="83" t="s">
        <v>3182</v>
      </c>
      <c r="F218" s="83" t="s">
        <v>3185</v>
      </c>
      <c r="G218" s="83" t="s">
        <v>3178</v>
      </c>
      <c r="H218" s="83" t="s">
        <v>3176</v>
      </c>
      <c r="I218" s="83" t="s">
        <v>3183</v>
      </c>
      <c r="J218" s="83" t="s">
        <v>3187</v>
      </c>
      <c r="K218" s="89" t="s">
        <v>3184</v>
      </c>
    </row>
    <row r="219" spans="2:11" x14ac:dyDescent="0.25">
      <c r="B219" s="88">
        <v>214</v>
      </c>
      <c r="C219" s="83" t="s">
        <v>3411</v>
      </c>
      <c r="D219" s="83" t="s">
        <v>3180</v>
      </c>
      <c r="E219" s="83" t="s">
        <v>3182</v>
      </c>
      <c r="F219" s="83" t="s">
        <v>3185</v>
      </c>
      <c r="G219" s="83" t="s">
        <v>3178</v>
      </c>
      <c r="H219" s="83" t="s">
        <v>3176</v>
      </c>
      <c r="I219" s="83" t="s">
        <v>3183</v>
      </c>
      <c r="J219" s="83" t="s">
        <v>3184</v>
      </c>
      <c r="K219" s="89" t="s">
        <v>3186</v>
      </c>
    </row>
    <row r="220" spans="2:11" x14ac:dyDescent="0.25">
      <c r="B220" s="88">
        <v>215</v>
      </c>
      <c r="C220" s="83" t="s">
        <v>3412</v>
      </c>
      <c r="D220" s="83" t="s">
        <v>3180</v>
      </c>
      <c r="E220" s="83" t="s">
        <v>3185</v>
      </c>
      <c r="F220" s="83" t="s">
        <v>3184</v>
      </c>
      <c r="G220" s="83" t="s">
        <v>3178</v>
      </c>
      <c r="H220" s="83" t="s">
        <v>3176</v>
      </c>
      <c r="I220" s="83" t="s">
        <v>3181</v>
      </c>
      <c r="J220" s="83" t="s">
        <v>3187</v>
      </c>
      <c r="K220" s="89" t="s">
        <v>3186</v>
      </c>
    </row>
    <row r="221" spans="2:11" x14ac:dyDescent="0.25">
      <c r="B221" s="88">
        <v>216</v>
      </c>
      <c r="C221" s="83" t="s">
        <v>3413</v>
      </c>
      <c r="D221" s="83" t="s">
        <v>3183</v>
      </c>
      <c r="E221" s="83" t="s">
        <v>3185</v>
      </c>
      <c r="F221" s="83" t="s">
        <v>3180</v>
      </c>
      <c r="G221" s="83" t="s">
        <v>3178</v>
      </c>
      <c r="H221" s="83" t="s">
        <v>3176</v>
      </c>
      <c r="I221" s="83" t="s">
        <v>3181</v>
      </c>
      <c r="J221" s="83" t="s">
        <v>3187</v>
      </c>
      <c r="K221" s="89" t="s">
        <v>3186</v>
      </c>
    </row>
    <row r="222" spans="2:11" x14ac:dyDescent="0.25">
      <c r="B222" s="88">
        <v>217</v>
      </c>
      <c r="C222" s="83" t="s">
        <v>3414</v>
      </c>
      <c r="D222" s="83" t="s">
        <v>3183</v>
      </c>
      <c r="E222" s="83" t="s">
        <v>3180</v>
      </c>
      <c r="F222" s="83" t="s">
        <v>3184</v>
      </c>
      <c r="G222" s="83" t="s">
        <v>3178</v>
      </c>
      <c r="H222" s="83" t="s">
        <v>3176</v>
      </c>
      <c r="I222" s="83" t="s">
        <v>3181</v>
      </c>
      <c r="J222" s="83" t="s">
        <v>3187</v>
      </c>
      <c r="K222" s="89" t="s">
        <v>3186</v>
      </c>
    </row>
    <row r="223" spans="2:11" x14ac:dyDescent="0.25">
      <c r="B223" s="88">
        <v>218</v>
      </c>
      <c r="C223" s="83" t="s">
        <v>3415</v>
      </c>
      <c r="D223" s="83" t="s">
        <v>3183</v>
      </c>
      <c r="E223" s="83" t="s">
        <v>3185</v>
      </c>
      <c r="F223" s="83" t="s">
        <v>3180</v>
      </c>
      <c r="G223" s="83" t="s">
        <v>3178</v>
      </c>
      <c r="H223" s="83" t="s">
        <v>3176</v>
      </c>
      <c r="I223" s="83" t="s">
        <v>3181</v>
      </c>
      <c r="J223" s="83" t="s">
        <v>3187</v>
      </c>
      <c r="K223" s="89" t="s">
        <v>3184</v>
      </c>
    </row>
    <row r="224" spans="2:11" x14ac:dyDescent="0.25">
      <c r="B224" s="88">
        <v>219</v>
      </c>
      <c r="C224" s="83" t="s">
        <v>3416</v>
      </c>
      <c r="D224" s="83" t="s">
        <v>3183</v>
      </c>
      <c r="E224" s="83" t="s">
        <v>3185</v>
      </c>
      <c r="F224" s="83" t="s">
        <v>3180</v>
      </c>
      <c r="G224" s="83" t="s">
        <v>3178</v>
      </c>
      <c r="H224" s="83" t="s">
        <v>3176</v>
      </c>
      <c r="I224" s="83" t="s">
        <v>3181</v>
      </c>
      <c r="J224" s="83" t="s">
        <v>3184</v>
      </c>
      <c r="K224" s="89" t="s">
        <v>3186</v>
      </c>
    </row>
    <row r="225" spans="2:11" x14ac:dyDescent="0.25">
      <c r="B225" s="88">
        <v>220</v>
      </c>
      <c r="C225" s="83" t="s">
        <v>3417</v>
      </c>
      <c r="D225" s="83" t="s">
        <v>3180</v>
      </c>
      <c r="E225" s="83" t="s">
        <v>3182</v>
      </c>
      <c r="F225" s="83" t="s">
        <v>3185</v>
      </c>
      <c r="G225" s="83" t="s">
        <v>3178</v>
      </c>
      <c r="H225" s="83" t="s">
        <v>3176</v>
      </c>
      <c r="I225" s="83" t="s">
        <v>3181</v>
      </c>
      <c r="J225" s="83" t="s">
        <v>3187</v>
      </c>
      <c r="K225" s="89" t="s">
        <v>3186</v>
      </c>
    </row>
    <row r="226" spans="2:11" x14ac:dyDescent="0.25">
      <c r="B226" s="88">
        <v>221</v>
      </c>
      <c r="C226" s="83" t="s">
        <v>3418</v>
      </c>
      <c r="D226" s="83" t="s">
        <v>3180</v>
      </c>
      <c r="E226" s="83" t="s">
        <v>3182</v>
      </c>
      <c r="F226" s="83" t="s">
        <v>3184</v>
      </c>
      <c r="G226" s="83" t="s">
        <v>3178</v>
      </c>
      <c r="H226" s="83" t="s">
        <v>3176</v>
      </c>
      <c r="I226" s="83" t="s">
        <v>3181</v>
      </c>
      <c r="J226" s="83" t="s">
        <v>3187</v>
      </c>
      <c r="K226" s="89" t="s">
        <v>3186</v>
      </c>
    </row>
    <row r="227" spans="2:11" x14ac:dyDescent="0.25">
      <c r="B227" s="88">
        <v>222</v>
      </c>
      <c r="C227" s="83" t="s">
        <v>3419</v>
      </c>
      <c r="D227" s="83" t="s">
        <v>3180</v>
      </c>
      <c r="E227" s="83" t="s">
        <v>3182</v>
      </c>
      <c r="F227" s="83" t="s">
        <v>3185</v>
      </c>
      <c r="G227" s="83" t="s">
        <v>3178</v>
      </c>
      <c r="H227" s="83" t="s">
        <v>3176</v>
      </c>
      <c r="I227" s="83" t="s">
        <v>3181</v>
      </c>
      <c r="J227" s="83" t="s">
        <v>3187</v>
      </c>
      <c r="K227" s="89" t="s">
        <v>3184</v>
      </c>
    </row>
    <row r="228" spans="2:11" x14ac:dyDescent="0.25">
      <c r="B228" s="88">
        <v>223</v>
      </c>
      <c r="C228" s="83" t="s">
        <v>3420</v>
      </c>
      <c r="D228" s="83" t="s">
        <v>3180</v>
      </c>
      <c r="E228" s="83" t="s">
        <v>3182</v>
      </c>
      <c r="F228" s="83" t="s">
        <v>3185</v>
      </c>
      <c r="G228" s="83" t="s">
        <v>3178</v>
      </c>
      <c r="H228" s="83" t="s">
        <v>3176</v>
      </c>
      <c r="I228" s="83" t="s">
        <v>3181</v>
      </c>
      <c r="J228" s="83" t="s">
        <v>3184</v>
      </c>
      <c r="K228" s="89" t="s">
        <v>3186</v>
      </c>
    </row>
    <row r="229" spans="2:11" x14ac:dyDescent="0.25">
      <c r="B229" s="88">
        <v>224</v>
      </c>
      <c r="C229" s="83" t="s">
        <v>3421</v>
      </c>
      <c r="D229" s="83" t="s">
        <v>3183</v>
      </c>
      <c r="E229" s="83" t="s">
        <v>3182</v>
      </c>
      <c r="F229" s="83" t="s">
        <v>3180</v>
      </c>
      <c r="G229" s="83" t="s">
        <v>3178</v>
      </c>
      <c r="H229" s="83" t="s">
        <v>3176</v>
      </c>
      <c r="I229" s="83" t="s">
        <v>3181</v>
      </c>
      <c r="J229" s="83" t="s">
        <v>3187</v>
      </c>
      <c r="K229" s="89" t="s">
        <v>3186</v>
      </c>
    </row>
    <row r="230" spans="2:11" x14ac:dyDescent="0.25">
      <c r="B230" s="88">
        <v>225</v>
      </c>
      <c r="C230" s="83" t="s">
        <v>3422</v>
      </c>
      <c r="D230" s="83" t="s">
        <v>3183</v>
      </c>
      <c r="E230" s="83" t="s">
        <v>3182</v>
      </c>
      <c r="F230" s="83" t="s">
        <v>3185</v>
      </c>
      <c r="G230" s="83" t="s">
        <v>3178</v>
      </c>
      <c r="H230" s="83" t="s">
        <v>3176</v>
      </c>
      <c r="I230" s="83" t="s">
        <v>3181</v>
      </c>
      <c r="J230" s="83" t="s">
        <v>3187</v>
      </c>
      <c r="K230" s="89" t="s">
        <v>3180</v>
      </c>
    </row>
    <row r="231" spans="2:11" x14ac:dyDescent="0.25">
      <c r="B231" s="88">
        <v>226</v>
      </c>
      <c r="C231" s="83" t="s">
        <v>3423</v>
      </c>
      <c r="D231" s="83" t="s">
        <v>3183</v>
      </c>
      <c r="E231" s="83" t="s">
        <v>3182</v>
      </c>
      <c r="F231" s="83" t="s">
        <v>3185</v>
      </c>
      <c r="G231" s="83" t="s">
        <v>3178</v>
      </c>
      <c r="H231" s="83" t="s">
        <v>3176</v>
      </c>
      <c r="I231" s="83" t="s">
        <v>3181</v>
      </c>
      <c r="J231" s="83" t="s">
        <v>3180</v>
      </c>
      <c r="K231" s="89" t="s">
        <v>3186</v>
      </c>
    </row>
    <row r="232" spans="2:11" x14ac:dyDescent="0.25">
      <c r="B232" s="88">
        <v>227</v>
      </c>
      <c r="C232" s="83" t="s">
        <v>3424</v>
      </c>
      <c r="D232" s="83" t="s">
        <v>3183</v>
      </c>
      <c r="E232" s="83" t="s">
        <v>3182</v>
      </c>
      <c r="F232" s="83" t="s">
        <v>3180</v>
      </c>
      <c r="G232" s="83" t="s">
        <v>3178</v>
      </c>
      <c r="H232" s="83" t="s">
        <v>3176</v>
      </c>
      <c r="I232" s="83" t="s">
        <v>3181</v>
      </c>
      <c r="J232" s="83" t="s">
        <v>3187</v>
      </c>
      <c r="K232" s="89" t="s">
        <v>3184</v>
      </c>
    </row>
    <row r="233" spans="2:11" x14ac:dyDescent="0.25">
      <c r="B233" s="88">
        <v>228</v>
      </c>
      <c r="C233" s="83" t="s">
        <v>3425</v>
      </c>
      <c r="D233" s="83" t="s">
        <v>3183</v>
      </c>
      <c r="E233" s="83" t="s">
        <v>3182</v>
      </c>
      <c r="F233" s="83" t="s">
        <v>3180</v>
      </c>
      <c r="G233" s="83" t="s">
        <v>3178</v>
      </c>
      <c r="H233" s="83" t="s">
        <v>3176</v>
      </c>
      <c r="I233" s="83" t="s">
        <v>3181</v>
      </c>
      <c r="J233" s="83" t="s">
        <v>3184</v>
      </c>
      <c r="K233" s="89" t="s">
        <v>3186</v>
      </c>
    </row>
    <row r="234" spans="2:11" x14ac:dyDescent="0.25">
      <c r="B234" s="88">
        <v>229</v>
      </c>
      <c r="C234" s="83" t="s">
        <v>3426</v>
      </c>
      <c r="D234" s="83" t="s">
        <v>3183</v>
      </c>
      <c r="E234" s="83" t="s">
        <v>3182</v>
      </c>
      <c r="F234" s="83" t="s">
        <v>3185</v>
      </c>
      <c r="G234" s="83" t="s">
        <v>3178</v>
      </c>
      <c r="H234" s="83" t="s">
        <v>3176</v>
      </c>
      <c r="I234" s="83" t="s">
        <v>3181</v>
      </c>
      <c r="J234" s="83" t="s">
        <v>3180</v>
      </c>
      <c r="K234" s="89" t="s">
        <v>3184</v>
      </c>
    </row>
    <row r="235" spans="2:11" x14ac:dyDescent="0.25">
      <c r="B235" s="88">
        <v>230</v>
      </c>
      <c r="C235" s="83" t="s">
        <v>3427</v>
      </c>
      <c r="D235" s="83" t="s">
        <v>3183</v>
      </c>
      <c r="E235" s="83" t="s">
        <v>3185</v>
      </c>
      <c r="F235" s="83" t="s">
        <v>3184</v>
      </c>
      <c r="G235" s="83" t="s">
        <v>3178</v>
      </c>
      <c r="H235" s="83" t="s">
        <v>3176</v>
      </c>
      <c r="I235" s="83" t="s">
        <v>3179</v>
      </c>
      <c r="J235" s="83" t="s">
        <v>3187</v>
      </c>
      <c r="K235" s="89" t="s">
        <v>3186</v>
      </c>
    </row>
    <row r="236" spans="2:11" x14ac:dyDescent="0.25">
      <c r="B236" s="88">
        <v>231</v>
      </c>
      <c r="C236" s="83" t="s">
        <v>3428</v>
      </c>
      <c r="D236" s="83" t="s">
        <v>3184</v>
      </c>
      <c r="E236" s="83" t="s">
        <v>3182</v>
      </c>
      <c r="F236" s="83" t="s">
        <v>3185</v>
      </c>
      <c r="G236" s="83" t="s">
        <v>3178</v>
      </c>
      <c r="H236" s="83" t="s">
        <v>3176</v>
      </c>
      <c r="I236" s="83" t="s">
        <v>3179</v>
      </c>
      <c r="J236" s="83" t="s">
        <v>3187</v>
      </c>
      <c r="K236" s="89" t="s">
        <v>3186</v>
      </c>
    </row>
    <row r="237" spans="2:11" x14ac:dyDescent="0.25">
      <c r="B237" s="88">
        <v>232</v>
      </c>
      <c r="C237" s="83" t="s">
        <v>3429</v>
      </c>
      <c r="D237" s="83" t="s">
        <v>3183</v>
      </c>
      <c r="E237" s="83" t="s">
        <v>3182</v>
      </c>
      <c r="F237" s="83" t="s">
        <v>3185</v>
      </c>
      <c r="G237" s="83" t="s">
        <v>3178</v>
      </c>
      <c r="H237" s="83" t="s">
        <v>3176</v>
      </c>
      <c r="I237" s="83" t="s">
        <v>3179</v>
      </c>
      <c r="J237" s="83" t="s">
        <v>3187</v>
      </c>
      <c r="K237" s="89" t="s">
        <v>3186</v>
      </c>
    </row>
    <row r="238" spans="2:11" x14ac:dyDescent="0.25">
      <c r="B238" s="88">
        <v>233</v>
      </c>
      <c r="C238" s="83" t="s">
        <v>3430</v>
      </c>
      <c r="D238" s="83" t="s">
        <v>3183</v>
      </c>
      <c r="E238" s="83" t="s">
        <v>3182</v>
      </c>
      <c r="F238" s="83" t="s">
        <v>3184</v>
      </c>
      <c r="G238" s="83" t="s">
        <v>3178</v>
      </c>
      <c r="H238" s="83" t="s">
        <v>3176</v>
      </c>
      <c r="I238" s="83" t="s">
        <v>3179</v>
      </c>
      <c r="J238" s="83" t="s">
        <v>3187</v>
      </c>
      <c r="K238" s="89" t="s">
        <v>3186</v>
      </c>
    </row>
    <row r="239" spans="2:11" x14ac:dyDescent="0.25">
      <c r="B239" s="88">
        <v>234</v>
      </c>
      <c r="C239" s="83" t="s">
        <v>3431</v>
      </c>
      <c r="D239" s="83" t="s">
        <v>3183</v>
      </c>
      <c r="E239" s="83" t="s">
        <v>3182</v>
      </c>
      <c r="F239" s="83" t="s">
        <v>3185</v>
      </c>
      <c r="G239" s="83" t="s">
        <v>3178</v>
      </c>
      <c r="H239" s="83" t="s">
        <v>3176</v>
      </c>
      <c r="I239" s="83" t="s">
        <v>3179</v>
      </c>
      <c r="J239" s="83" t="s">
        <v>3187</v>
      </c>
      <c r="K239" s="89" t="s">
        <v>3184</v>
      </c>
    </row>
    <row r="240" spans="2:11" x14ac:dyDescent="0.25">
      <c r="B240" s="88">
        <v>235</v>
      </c>
      <c r="C240" s="83" t="s">
        <v>3432</v>
      </c>
      <c r="D240" s="83" t="s">
        <v>3183</v>
      </c>
      <c r="E240" s="83" t="s">
        <v>3182</v>
      </c>
      <c r="F240" s="83" t="s">
        <v>3185</v>
      </c>
      <c r="G240" s="83" t="s">
        <v>3178</v>
      </c>
      <c r="H240" s="83" t="s">
        <v>3176</v>
      </c>
      <c r="I240" s="83" t="s">
        <v>3179</v>
      </c>
      <c r="J240" s="83" t="s">
        <v>3184</v>
      </c>
      <c r="K240" s="89" t="s">
        <v>3186</v>
      </c>
    </row>
    <row r="241" spans="2:11" x14ac:dyDescent="0.25">
      <c r="B241" s="88">
        <v>236</v>
      </c>
      <c r="C241" s="83" t="s">
        <v>3433</v>
      </c>
      <c r="D241" s="83" t="s">
        <v>3178</v>
      </c>
      <c r="E241" s="83" t="s">
        <v>3185</v>
      </c>
      <c r="F241" s="83" t="s">
        <v>3184</v>
      </c>
      <c r="G241" s="83" t="s">
        <v>3179</v>
      </c>
      <c r="H241" s="83" t="s">
        <v>3176</v>
      </c>
      <c r="I241" s="83" t="s">
        <v>3181</v>
      </c>
      <c r="J241" s="83" t="s">
        <v>3187</v>
      </c>
      <c r="K241" s="89" t="s">
        <v>3186</v>
      </c>
    </row>
    <row r="242" spans="2:11" x14ac:dyDescent="0.25">
      <c r="B242" s="88">
        <v>237</v>
      </c>
      <c r="C242" s="83" t="s">
        <v>3434</v>
      </c>
      <c r="D242" s="83" t="s">
        <v>3183</v>
      </c>
      <c r="E242" s="83" t="s">
        <v>3185</v>
      </c>
      <c r="F242" s="83" t="s">
        <v>3181</v>
      </c>
      <c r="G242" s="83" t="s">
        <v>3178</v>
      </c>
      <c r="H242" s="83" t="s">
        <v>3176</v>
      </c>
      <c r="I242" s="83" t="s">
        <v>3179</v>
      </c>
      <c r="J242" s="83" t="s">
        <v>3187</v>
      </c>
      <c r="K242" s="89" t="s">
        <v>3186</v>
      </c>
    </row>
    <row r="243" spans="2:11" x14ac:dyDescent="0.25">
      <c r="B243" s="88">
        <v>238</v>
      </c>
      <c r="C243" s="83" t="s">
        <v>3435</v>
      </c>
      <c r="D243" s="83" t="s">
        <v>3183</v>
      </c>
      <c r="E243" s="83" t="s">
        <v>3181</v>
      </c>
      <c r="F243" s="83" t="s">
        <v>3184</v>
      </c>
      <c r="G243" s="83" t="s">
        <v>3178</v>
      </c>
      <c r="H243" s="83" t="s">
        <v>3176</v>
      </c>
      <c r="I243" s="83" t="s">
        <v>3179</v>
      </c>
      <c r="J243" s="83" t="s">
        <v>3187</v>
      </c>
      <c r="K243" s="89" t="s">
        <v>3186</v>
      </c>
    </row>
    <row r="244" spans="2:11" x14ac:dyDescent="0.25">
      <c r="B244" s="88">
        <v>239</v>
      </c>
      <c r="C244" s="83" t="s">
        <v>3436</v>
      </c>
      <c r="D244" s="83" t="s">
        <v>3183</v>
      </c>
      <c r="E244" s="83" t="s">
        <v>3185</v>
      </c>
      <c r="F244" s="83" t="s">
        <v>3181</v>
      </c>
      <c r="G244" s="83" t="s">
        <v>3178</v>
      </c>
      <c r="H244" s="83" t="s">
        <v>3176</v>
      </c>
      <c r="I244" s="83" t="s">
        <v>3179</v>
      </c>
      <c r="J244" s="83" t="s">
        <v>3187</v>
      </c>
      <c r="K244" s="89" t="s">
        <v>3184</v>
      </c>
    </row>
    <row r="245" spans="2:11" x14ac:dyDescent="0.25">
      <c r="B245" s="88">
        <v>240</v>
      </c>
      <c r="C245" s="83" t="s">
        <v>3437</v>
      </c>
      <c r="D245" s="83" t="s">
        <v>3183</v>
      </c>
      <c r="E245" s="83" t="s">
        <v>3185</v>
      </c>
      <c r="F245" s="83" t="s">
        <v>3181</v>
      </c>
      <c r="G245" s="83" t="s">
        <v>3178</v>
      </c>
      <c r="H245" s="83" t="s">
        <v>3176</v>
      </c>
      <c r="I245" s="83" t="s">
        <v>3179</v>
      </c>
      <c r="J245" s="83" t="s">
        <v>3184</v>
      </c>
      <c r="K245" s="89" t="s">
        <v>3186</v>
      </c>
    </row>
    <row r="246" spans="2:11" x14ac:dyDescent="0.25">
      <c r="B246" s="88">
        <v>241</v>
      </c>
      <c r="C246" s="83" t="s">
        <v>3438</v>
      </c>
      <c r="D246" s="83" t="s">
        <v>3178</v>
      </c>
      <c r="E246" s="83" t="s">
        <v>3182</v>
      </c>
      <c r="F246" s="83" t="s">
        <v>3185</v>
      </c>
      <c r="G246" s="83" t="s">
        <v>3179</v>
      </c>
      <c r="H246" s="83" t="s">
        <v>3176</v>
      </c>
      <c r="I246" s="83" t="s">
        <v>3181</v>
      </c>
      <c r="J246" s="83" t="s">
        <v>3187</v>
      </c>
      <c r="K246" s="89" t="s">
        <v>3186</v>
      </c>
    </row>
    <row r="247" spans="2:11" x14ac:dyDescent="0.25">
      <c r="B247" s="88">
        <v>242</v>
      </c>
      <c r="C247" s="83" t="s">
        <v>3439</v>
      </c>
      <c r="D247" s="83" t="s">
        <v>3178</v>
      </c>
      <c r="E247" s="83" t="s">
        <v>3182</v>
      </c>
      <c r="F247" s="83" t="s">
        <v>3184</v>
      </c>
      <c r="G247" s="83" t="s">
        <v>3179</v>
      </c>
      <c r="H247" s="83" t="s">
        <v>3176</v>
      </c>
      <c r="I247" s="83" t="s">
        <v>3181</v>
      </c>
      <c r="J247" s="83" t="s">
        <v>3187</v>
      </c>
      <c r="K247" s="89" t="s">
        <v>3186</v>
      </c>
    </row>
    <row r="248" spans="2:11" x14ac:dyDescent="0.25">
      <c r="B248" s="88">
        <v>243</v>
      </c>
      <c r="C248" s="83" t="s">
        <v>3440</v>
      </c>
      <c r="D248" s="83" t="s">
        <v>3178</v>
      </c>
      <c r="E248" s="83" t="s">
        <v>3182</v>
      </c>
      <c r="F248" s="83" t="s">
        <v>3185</v>
      </c>
      <c r="G248" s="83" t="s">
        <v>3179</v>
      </c>
      <c r="H248" s="83" t="s">
        <v>3176</v>
      </c>
      <c r="I248" s="83" t="s">
        <v>3181</v>
      </c>
      <c r="J248" s="83" t="s">
        <v>3187</v>
      </c>
      <c r="K248" s="89" t="s">
        <v>3184</v>
      </c>
    </row>
    <row r="249" spans="2:11" x14ac:dyDescent="0.25">
      <c r="B249" s="88">
        <v>244</v>
      </c>
      <c r="C249" s="83" t="s">
        <v>3441</v>
      </c>
      <c r="D249" s="83" t="s">
        <v>3178</v>
      </c>
      <c r="E249" s="83" t="s">
        <v>3182</v>
      </c>
      <c r="F249" s="83" t="s">
        <v>3185</v>
      </c>
      <c r="G249" s="83" t="s">
        <v>3179</v>
      </c>
      <c r="H249" s="83" t="s">
        <v>3176</v>
      </c>
      <c r="I249" s="83" t="s">
        <v>3181</v>
      </c>
      <c r="J249" s="83" t="s">
        <v>3184</v>
      </c>
      <c r="K249" s="89" t="s">
        <v>3186</v>
      </c>
    </row>
    <row r="250" spans="2:11" x14ac:dyDescent="0.25">
      <c r="B250" s="88">
        <v>245</v>
      </c>
      <c r="C250" s="83" t="s">
        <v>3442</v>
      </c>
      <c r="D250" s="83" t="s">
        <v>3183</v>
      </c>
      <c r="E250" s="83" t="s">
        <v>3182</v>
      </c>
      <c r="F250" s="83" t="s">
        <v>3181</v>
      </c>
      <c r="G250" s="83" t="s">
        <v>3178</v>
      </c>
      <c r="H250" s="83" t="s">
        <v>3176</v>
      </c>
      <c r="I250" s="83" t="s">
        <v>3179</v>
      </c>
      <c r="J250" s="83" t="s">
        <v>3187</v>
      </c>
      <c r="K250" s="89" t="s">
        <v>3186</v>
      </c>
    </row>
    <row r="251" spans="2:11" x14ac:dyDescent="0.25">
      <c r="B251" s="88">
        <v>246</v>
      </c>
      <c r="C251" s="83" t="s">
        <v>3443</v>
      </c>
      <c r="D251" s="83" t="s">
        <v>3178</v>
      </c>
      <c r="E251" s="83" t="s">
        <v>3182</v>
      </c>
      <c r="F251" s="83" t="s">
        <v>3185</v>
      </c>
      <c r="G251" s="83" t="s">
        <v>3179</v>
      </c>
      <c r="H251" s="83" t="s">
        <v>3176</v>
      </c>
      <c r="I251" s="83" t="s">
        <v>3181</v>
      </c>
      <c r="J251" s="83" t="s">
        <v>3187</v>
      </c>
      <c r="K251" s="89" t="s">
        <v>3183</v>
      </c>
    </row>
    <row r="252" spans="2:11" x14ac:dyDescent="0.25">
      <c r="B252" s="88">
        <v>247</v>
      </c>
      <c r="C252" s="83" t="s">
        <v>3444</v>
      </c>
      <c r="D252" s="83" t="s">
        <v>3183</v>
      </c>
      <c r="E252" s="83" t="s">
        <v>3182</v>
      </c>
      <c r="F252" s="83" t="s">
        <v>3185</v>
      </c>
      <c r="G252" s="83" t="s">
        <v>3178</v>
      </c>
      <c r="H252" s="83" t="s">
        <v>3176</v>
      </c>
      <c r="I252" s="83" t="s">
        <v>3181</v>
      </c>
      <c r="J252" s="83" t="s">
        <v>3179</v>
      </c>
      <c r="K252" s="89" t="s">
        <v>3186</v>
      </c>
    </row>
    <row r="253" spans="2:11" x14ac:dyDescent="0.25">
      <c r="B253" s="88">
        <v>248</v>
      </c>
      <c r="C253" s="83" t="s">
        <v>3445</v>
      </c>
      <c r="D253" s="83" t="s">
        <v>3183</v>
      </c>
      <c r="E253" s="83" t="s">
        <v>3182</v>
      </c>
      <c r="F253" s="83" t="s">
        <v>3181</v>
      </c>
      <c r="G253" s="83" t="s">
        <v>3178</v>
      </c>
      <c r="H253" s="83" t="s">
        <v>3176</v>
      </c>
      <c r="I253" s="83" t="s">
        <v>3179</v>
      </c>
      <c r="J253" s="83" t="s">
        <v>3187</v>
      </c>
      <c r="K253" s="89" t="s">
        <v>3184</v>
      </c>
    </row>
    <row r="254" spans="2:11" x14ac:dyDescent="0.25">
      <c r="B254" s="88">
        <v>249</v>
      </c>
      <c r="C254" s="83" t="s">
        <v>3446</v>
      </c>
      <c r="D254" s="83" t="s">
        <v>3183</v>
      </c>
      <c r="E254" s="83" t="s">
        <v>3182</v>
      </c>
      <c r="F254" s="83" t="s">
        <v>3181</v>
      </c>
      <c r="G254" s="83" t="s">
        <v>3178</v>
      </c>
      <c r="H254" s="83" t="s">
        <v>3176</v>
      </c>
      <c r="I254" s="83" t="s">
        <v>3179</v>
      </c>
      <c r="J254" s="83" t="s">
        <v>3184</v>
      </c>
      <c r="K254" s="89" t="s">
        <v>3186</v>
      </c>
    </row>
    <row r="255" spans="2:11" x14ac:dyDescent="0.25">
      <c r="B255" s="88">
        <v>250</v>
      </c>
      <c r="C255" s="83" t="s">
        <v>3447</v>
      </c>
      <c r="D255" s="83" t="s">
        <v>3183</v>
      </c>
      <c r="E255" s="83" t="s">
        <v>3182</v>
      </c>
      <c r="F255" s="83" t="s">
        <v>3185</v>
      </c>
      <c r="G255" s="83" t="s">
        <v>3178</v>
      </c>
      <c r="H255" s="83" t="s">
        <v>3176</v>
      </c>
      <c r="I255" s="83" t="s">
        <v>3181</v>
      </c>
      <c r="J255" s="83" t="s">
        <v>3179</v>
      </c>
      <c r="K255" s="89" t="s">
        <v>3184</v>
      </c>
    </row>
    <row r="256" spans="2:11" x14ac:dyDescent="0.25">
      <c r="B256" s="88">
        <v>251</v>
      </c>
      <c r="C256" s="83" t="s">
        <v>3448</v>
      </c>
      <c r="D256" s="83" t="s">
        <v>3180</v>
      </c>
      <c r="E256" s="83" t="s">
        <v>3185</v>
      </c>
      <c r="F256" s="83" t="s">
        <v>3184</v>
      </c>
      <c r="G256" s="83" t="s">
        <v>3178</v>
      </c>
      <c r="H256" s="83" t="s">
        <v>3176</v>
      </c>
      <c r="I256" s="83" t="s">
        <v>3179</v>
      </c>
      <c r="J256" s="83" t="s">
        <v>3187</v>
      </c>
      <c r="K256" s="89" t="s">
        <v>3186</v>
      </c>
    </row>
    <row r="257" spans="2:11" x14ac:dyDescent="0.25">
      <c r="B257" s="88">
        <v>252</v>
      </c>
      <c r="C257" s="83" t="s">
        <v>3449</v>
      </c>
      <c r="D257" s="83" t="s">
        <v>3183</v>
      </c>
      <c r="E257" s="83" t="s">
        <v>3185</v>
      </c>
      <c r="F257" s="83" t="s">
        <v>3180</v>
      </c>
      <c r="G257" s="83" t="s">
        <v>3178</v>
      </c>
      <c r="H257" s="83" t="s">
        <v>3176</v>
      </c>
      <c r="I257" s="83" t="s">
        <v>3179</v>
      </c>
      <c r="J257" s="83" t="s">
        <v>3187</v>
      </c>
      <c r="K257" s="89" t="s">
        <v>3186</v>
      </c>
    </row>
    <row r="258" spans="2:11" x14ac:dyDescent="0.25">
      <c r="B258" s="88">
        <v>253</v>
      </c>
      <c r="C258" s="83" t="s">
        <v>3450</v>
      </c>
      <c r="D258" s="83" t="s">
        <v>3183</v>
      </c>
      <c r="E258" s="83" t="s">
        <v>3180</v>
      </c>
      <c r="F258" s="83" t="s">
        <v>3184</v>
      </c>
      <c r="G258" s="83" t="s">
        <v>3178</v>
      </c>
      <c r="H258" s="83" t="s">
        <v>3176</v>
      </c>
      <c r="I258" s="83" t="s">
        <v>3179</v>
      </c>
      <c r="J258" s="83" t="s">
        <v>3187</v>
      </c>
      <c r="K258" s="89" t="s">
        <v>3186</v>
      </c>
    </row>
    <row r="259" spans="2:11" x14ac:dyDescent="0.25">
      <c r="B259" s="88">
        <v>254</v>
      </c>
      <c r="C259" s="83" t="s">
        <v>3451</v>
      </c>
      <c r="D259" s="83" t="s">
        <v>3183</v>
      </c>
      <c r="E259" s="83" t="s">
        <v>3185</v>
      </c>
      <c r="F259" s="83" t="s">
        <v>3180</v>
      </c>
      <c r="G259" s="83" t="s">
        <v>3178</v>
      </c>
      <c r="H259" s="83" t="s">
        <v>3176</v>
      </c>
      <c r="I259" s="83" t="s">
        <v>3179</v>
      </c>
      <c r="J259" s="83" t="s">
        <v>3187</v>
      </c>
      <c r="K259" s="89" t="s">
        <v>3184</v>
      </c>
    </row>
    <row r="260" spans="2:11" x14ac:dyDescent="0.25">
      <c r="B260" s="88">
        <v>255</v>
      </c>
      <c r="C260" s="83" t="s">
        <v>3452</v>
      </c>
      <c r="D260" s="83" t="s">
        <v>3183</v>
      </c>
      <c r="E260" s="83" t="s">
        <v>3185</v>
      </c>
      <c r="F260" s="83" t="s">
        <v>3180</v>
      </c>
      <c r="G260" s="83" t="s">
        <v>3178</v>
      </c>
      <c r="H260" s="83" t="s">
        <v>3176</v>
      </c>
      <c r="I260" s="83" t="s">
        <v>3179</v>
      </c>
      <c r="J260" s="83" t="s">
        <v>3184</v>
      </c>
      <c r="K260" s="89" t="s">
        <v>3186</v>
      </c>
    </row>
    <row r="261" spans="2:11" x14ac:dyDescent="0.25">
      <c r="B261" s="88">
        <v>256</v>
      </c>
      <c r="C261" s="83" t="s">
        <v>3453</v>
      </c>
      <c r="D261" s="83" t="s">
        <v>3180</v>
      </c>
      <c r="E261" s="83" t="s">
        <v>3182</v>
      </c>
      <c r="F261" s="83" t="s">
        <v>3185</v>
      </c>
      <c r="G261" s="83" t="s">
        <v>3178</v>
      </c>
      <c r="H261" s="83" t="s">
        <v>3176</v>
      </c>
      <c r="I261" s="83" t="s">
        <v>3179</v>
      </c>
      <c r="J261" s="83" t="s">
        <v>3187</v>
      </c>
      <c r="K261" s="89" t="s">
        <v>3186</v>
      </c>
    </row>
    <row r="262" spans="2:11" x14ac:dyDescent="0.25">
      <c r="B262" s="88">
        <v>257</v>
      </c>
      <c r="C262" s="83" t="s">
        <v>3454</v>
      </c>
      <c r="D262" s="83" t="s">
        <v>3180</v>
      </c>
      <c r="E262" s="83" t="s">
        <v>3182</v>
      </c>
      <c r="F262" s="83" t="s">
        <v>3184</v>
      </c>
      <c r="G262" s="83" t="s">
        <v>3178</v>
      </c>
      <c r="H262" s="83" t="s">
        <v>3176</v>
      </c>
      <c r="I262" s="83" t="s">
        <v>3179</v>
      </c>
      <c r="J262" s="83" t="s">
        <v>3187</v>
      </c>
      <c r="K262" s="89" t="s">
        <v>3186</v>
      </c>
    </row>
    <row r="263" spans="2:11" x14ac:dyDescent="0.25">
      <c r="B263" s="88">
        <v>258</v>
      </c>
      <c r="C263" s="83" t="s">
        <v>3455</v>
      </c>
      <c r="D263" s="83" t="s">
        <v>3180</v>
      </c>
      <c r="E263" s="83" t="s">
        <v>3182</v>
      </c>
      <c r="F263" s="83" t="s">
        <v>3185</v>
      </c>
      <c r="G263" s="83" t="s">
        <v>3178</v>
      </c>
      <c r="H263" s="83" t="s">
        <v>3176</v>
      </c>
      <c r="I263" s="83" t="s">
        <v>3179</v>
      </c>
      <c r="J263" s="83" t="s">
        <v>3187</v>
      </c>
      <c r="K263" s="89" t="s">
        <v>3184</v>
      </c>
    </row>
    <row r="264" spans="2:11" x14ac:dyDescent="0.25">
      <c r="B264" s="88">
        <v>259</v>
      </c>
      <c r="C264" s="83" t="s">
        <v>3456</v>
      </c>
      <c r="D264" s="83" t="s">
        <v>3180</v>
      </c>
      <c r="E264" s="83" t="s">
        <v>3182</v>
      </c>
      <c r="F264" s="83" t="s">
        <v>3185</v>
      </c>
      <c r="G264" s="83" t="s">
        <v>3178</v>
      </c>
      <c r="H264" s="83" t="s">
        <v>3176</v>
      </c>
      <c r="I264" s="83" t="s">
        <v>3179</v>
      </c>
      <c r="J264" s="83" t="s">
        <v>3184</v>
      </c>
      <c r="K264" s="89" t="s">
        <v>3186</v>
      </c>
    </row>
    <row r="265" spans="2:11" x14ac:dyDescent="0.25">
      <c r="B265" s="88">
        <v>260</v>
      </c>
      <c r="C265" s="83" t="s">
        <v>3457</v>
      </c>
      <c r="D265" s="83" t="s">
        <v>3183</v>
      </c>
      <c r="E265" s="83" t="s">
        <v>3182</v>
      </c>
      <c r="F265" s="83" t="s">
        <v>3180</v>
      </c>
      <c r="G265" s="83" t="s">
        <v>3178</v>
      </c>
      <c r="H265" s="83" t="s">
        <v>3176</v>
      </c>
      <c r="I265" s="83" t="s">
        <v>3179</v>
      </c>
      <c r="J265" s="83" t="s">
        <v>3187</v>
      </c>
      <c r="K265" s="89" t="s">
        <v>3186</v>
      </c>
    </row>
    <row r="266" spans="2:11" x14ac:dyDescent="0.25">
      <c r="B266" s="88">
        <v>261</v>
      </c>
      <c r="C266" s="83" t="s">
        <v>3458</v>
      </c>
      <c r="D266" s="83" t="s">
        <v>3183</v>
      </c>
      <c r="E266" s="83" t="s">
        <v>3182</v>
      </c>
      <c r="F266" s="83" t="s">
        <v>3185</v>
      </c>
      <c r="G266" s="83" t="s">
        <v>3178</v>
      </c>
      <c r="H266" s="83" t="s">
        <v>3176</v>
      </c>
      <c r="I266" s="83" t="s">
        <v>3179</v>
      </c>
      <c r="J266" s="83" t="s">
        <v>3187</v>
      </c>
      <c r="K266" s="89" t="s">
        <v>3180</v>
      </c>
    </row>
    <row r="267" spans="2:11" x14ac:dyDescent="0.25">
      <c r="B267" s="88">
        <v>262</v>
      </c>
      <c r="C267" s="83" t="s">
        <v>3459</v>
      </c>
      <c r="D267" s="83" t="s">
        <v>3183</v>
      </c>
      <c r="E267" s="83" t="s">
        <v>3182</v>
      </c>
      <c r="F267" s="83" t="s">
        <v>3185</v>
      </c>
      <c r="G267" s="83" t="s">
        <v>3178</v>
      </c>
      <c r="H267" s="83" t="s">
        <v>3176</v>
      </c>
      <c r="I267" s="83" t="s">
        <v>3179</v>
      </c>
      <c r="J267" s="83" t="s">
        <v>3180</v>
      </c>
      <c r="K267" s="89" t="s">
        <v>3186</v>
      </c>
    </row>
    <row r="268" spans="2:11" x14ac:dyDescent="0.25">
      <c r="B268" s="88">
        <v>263</v>
      </c>
      <c r="C268" s="83" t="s">
        <v>3460</v>
      </c>
      <c r="D268" s="83" t="s">
        <v>3183</v>
      </c>
      <c r="E268" s="83" t="s">
        <v>3182</v>
      </c>
      <c r="F268" s="83" t="s">
        <v>3180</v>
      </c>
      <c r="G268" s="83" t="s">
        <v>3178</v>
      </c>
      <c r="H268" s="83" t="s">
        <v>3176</v>
      </c>
      <c r="I268" s="83" t="s">
        <v>3179</v>
      </c>
      <c r="J268" s="83" t="s">
        <v>3187</v>
      </c>
      <c r="K268" s="89" t="s">
        <v>3184</v>
      </c>
    </row>
    <row r="269" spans="2:11" x14ac:dyDescent="0.25">
      <c r="B269" s="88">
        <v>264</v>
      </c>
      <c r="C269" s="83" t="s">
        <v>3461</v>
      </c>
      <c r="D269" s="83" t="s">
        <v>3183</v>
      </c>
      <c r="E269" s="83" t="s">
        <v>3182</v>
      </c>
      <c r="F269" s="83" t="s">
        <v>3180</v>
      </c>
      <c r="G269" s="83" t="s">
        <v>3178</v>
      </c>
      <c r="H269" s="83" t="s">
        <v>3176</v>
      </c>
      <c r="I269" s="83" t="s">
        <v>3179</v>
      </c>
      <c r="J269" s="83" t="s">
        <v>3184</v>
      </c>
      <c r="K269" s="89" t="s">
        <v>3186</v>
      </c>
    </row>
    <row r="270" spans="2:11" x14ac:dyDescent="0.25">
      <c r="B270" s="88">
        <v>265</v>
      </c>
      <c r="C270" s="83" t="s">
        <v>3462</v>
      </c>
      <c r="D270" s="83" t="s">
        <v>3183</v>
      </c>
      <c r="E270" s="83" t="s">
        <v>3182</v>
      </c>
      <c r="F270" s="83" t="s">
        <v>3185</v>
      </c>
      <c r="G270" s="83" t="s">
        <v>3178</v>
      </c>
      <c r="H270" s="83" t="s">
        <v>3176</v>
      </c>
      <c r="I270" s="83" t="s">
        <v>3179</v>
      </c>
      <c r="J270" s="83" t="s">
        <v>3180</v>
      </c>
      <c r="K270" s="89" t="s">
        <v>3184</v>
      </c>
    </row>
    <row r="271" spans="2:11" x14ac:dyDescent="0.25">
      <c r="B271" s="88">
        <v>266</v>
      </c>
      <c r="C271" s="83" t="s">
        <v>3463</v>
      </c>
      <c r="D271" s="83" t="s">
        <v>3178</v>
      </c>
      <c r="E271" s="83" t="s">
        <v>3185</v>
      </c>
      <c r="F271" s="83" t="s">
        <v>3180</v>
      </c>
      <c r="G271" s="83" t="s">
        <v>3179</v>
      </c>
      <c r="H271" s="83" t="s">
        <v>3176</v>
      </c>
      <c r="I271" s="83" t="s">
        <v>3181</v>
      </c>
      <c r="J271" s="83" t="s">
        <v>3187</v>
      </c>
      <c r="K271" s="89" t="s">
        <v>3186</v>
      </c>
    </row>
    <row r="272" spans="2:11" x14ac:dyDescent="0.25">
      <c r="B272" s="88">
        <v>267</v>
      </c>
      <c r="C272" s="83" t="s">
        <v>3464</v>
      </c>
      <c r="D272" s="83" t="s">
        <v>3178</v>
      </c>
      <c r="E272" s="83" t="s">
        <v>3180</v>
      </c>
      <c r="F272" s="83" t="s">
        <v>3184</v>
      </c>
      <c r="G272" s="83" t="s">
        <v>3179</v>
      </c>
      <c r="H272" s="83" t="s">
        <v>3176</v>
      </c>
      <c r="I272" s="83" t="s">
        <v>3181</v>
      </c>
      <c r="J272" s="83" t="s">
        <v>3187</v>
      </c>
      <c r="K272" s="89" t="s">
        <v>3186</v>
      </c>
    </row>
    <row r="273" spans="2:11" x14ac:dyDescent="0.25">
      <c r="B273" s="88">
        <v>268</v>
      </c>
      <c r="C273" s="83" t="s">
        <v>3465</v>
      </c>
      <c r="D273" s="83" t="s">
        <v>3178</v>
      </c>
      <c r="E273" s="83" t="s">
        <v>3185</v>
      </c>
      <c r="F273" s="83" t="s">
        <v>3180</v>
      </c>
      <c r="G273" s="83" t="s">
        <v>3179</v>
      </c>
      <c r="H273" s="83" t="s">
        <v>3176</v>
      </c>
      <c r="I273" s="83" t="s">
        <v>3181</v>
      </c>
      <c r="J273" s="83" t="s">
        <v>3187</v>
      </c>
      <c r="K273" s="89" t="s">
        <v>3184</v>
      </c>
    </row>
    <row r="274" spans="2:11" x14ac:dyDescent="0.25">
      <c r="B274" s="88">
        <v>269</v>
      </c>
      <c r="C274" s="83" t="s">
        <v>3466</v>
      </c>
      <c r="D274" s="83" t="s">
        <v>3178</v>
      </c>
      <c r="E274" s="83" t="s">
        <v>3185</v>
      </c>
      <c r="F274" s="83" t="s">
        <v>3180</v>
      </c>
      <c r="G274" s="83" t="s">
        <v>3179</v>
      </c>
      <c r="H274" s="83" t="s">
        <v>3176</v>
      </c>
      <c r="I274" s="83" t="s">
        <v>3181</v>
      </c>
      <c r="J274" s="83" t="s">
        <v>3184</v>
      </c>
      <c r="K274" s="89" t="s">
        <v>3186</v>
      </c>
    </row>
    <row r="275" spans="2:11" x14ac:dyDescent="0.25">
      <c r="B275" s="88">
        <v>270</v>
      </c>
      <c r="C275" s="83" t="s">
        <v>3467</v>
      </c>
      <c r="D275" s="83" t="s">
        <v>3183</v>
      </c>
      <c r="E275" s="83" t="s">
        <v>3180</v>
      </c>
      <c r="F275" s="83" t="s">
        <v>3181</v>
      </c>
      <c r="G275" s="83" t="s">
        <v>3178</v>
      </c>
      <c r="H275" s="83" t="s">
        <v>3176</v>
      </c>
      <c r="I275" s="83" t="s">
        <v>3179</v>
      </c>
      <c r="J275" s="83" t="s">
        <v>3187</v>
      </c>
      <c r="K275" s="89" t="s">
        <v>3186</v>
      </c>
    </row>
    <row r="276" spans="2:11" x14ac:dyDescent="0.25">
      <c r="B276" s="88">
        <v>271</v>
      </c>
      <c r="C276" s="83" t="s">
        <v>3468</v>
      </c>
      <c r="D276" s="83" t="s">
        <v>3183</v>
      </c>
      <c r="E276" s="83" t="s">
        <v>3185</v>
      </c>
      <c r="F276" s="83" t="s">
        <v>3181</v>
      </c>
      <c r="G276" s="83" t="s">
        <v>3178</v>
      </c>
      <c r="H276" s="83" t="s">
        <v>3176</v>
      </c>
      <c r="I276" s="83" t="s">
        <v>3179</v>
      </c>
      <c r="J276" s="83" t="s">
        <v>3187</v>
      </c>
      <c r="K276" s="89" t="s">
        <v>3180</v>
      </c>
    </row>
    <row r="277" spans="2:11" x14ac:dyDescent="0.25">
      <c r="B277" s="88">
        <v>272</v>
      </c>
      <c r="C277" s="83" t="s">
        <v>3469</v>
      </c>
      <c r="D277" s="83" t="s">
        <v>3183</v>
      </c>
      <c r="E277" s="83" t="s">
        <v>3185</v>
      </c>
      <c r="F277" s="83" t="s">
        <v>3180</v>
      </c>
      <c r="G277" s="83" t="s">
        <v>3178</v>
      </c>
      <c r="H277" s="83" t="s">
        <v>3176</v>
      </c>
      <c r="I277" s="83" t="s">
        <v>3181</v>
      </c>
      <c r="J277" s="83" t="s">
        <v>3179</v>
      </c>
      <c r="K277" s="89" t="s">
        <v>3186</v>
      </c>
    </row>
    <row r="278" spans="2:11" x14ac:dyDescent="0.25">
      <c r="B278" s="88">
        <v>273</v>
      </c>
      <c r="C278" s="83" t="s">
        <v>3470</v>
      </c>
      <c r="D278" s="83" t="s">
        <v>3183</v>
      </c>
      <c r="E278" s="83" t="s">
        <v>3180</v>
      </c>
      <c r="F278" s="83" t="s">
        <v>3181</v>
      </c>
      <c r="G278" s="83" t="s">
        <v>3178</v>
      </c>
      <c r="H278" s="83" t="s">
        <v>3176</v>
      </c>
      <c r="I278" s="83" t="s">
        <v>3179</v>
      </c>
      <c r="J278" s="83" t="s">
        <v>3187</v>
      </c>
      <c r="K278" s="89" t="s">
        <v>3184</v>
      </c>
    </row>
    <row r="279" spans="2:11" x14ac:dyDescent="0.25">
      <c r="B279" s="88">
        <v>274</v>
      </c>
      <c r="C279" s="83" t="s">
        <v>3471</v>
      </c>
      <c r="D279" s="83" t="s">
        <v>3183</v>
      </c>
      <c r="E279" s="83" t="s">
        <v>3180</v>
      </c>
      <c r="F279" s="83" t="s">
        <v>3181</v>
      </c>
      <c r="G279" s="83" t="s">
        <v>3178</v>
      </c>
      <c r="H279" s="83" t="s">
        <v>3176</v>
      </c>
      <c r="I279" s="83" t="s">
        <v>3179</v>
      </c>
      <c r="J279" s="83" t="s">
        <v>3184</v>
      </c>
      <c r="K279" s="89" t="s">
        <v>3186</v>
      </c>
    </row>
    <row r="280" spans="2:11" x14ac:dyDescent="0.25">
      <c r="B280" s="88">
        <v>275</v>
      </c>
      <c r="C280" s="83" t="s">
        <v>3472</v>
      </c>
      <c r="D280" s="83" t="s">
        <v>3183</v>
      </c>
      <c r="E280" s="83" t="s">
        <v>3185</v>
      </c>
      <c r="F280" s="83" t="s">
        <v>3180</v>
      </c>
      <c r="G280" s="83" t="s">
        <v>3178</v>
      </c>
      <c r="H280" s="83" t="s">
        <v>3176</v>
      </c>
      <c r="I280" s="83" t="s">
        <v>3181</v>
      </c>
      <c r="J280" s="83" t="s">
        <v>3179</v>
      </c>
      <c r="K280" s="89" t="s">
        <v>3184</v>
      </c>
    </row>
    <row r="281" spans="2:11" x14ac:dyDescent="0.25">
      <c r="B281" s="88">
        <v>276</v>
      </c>
      <c r="C281" s="83" t="s">
        <v>3473</v>
      </c>
      <c r="D281" s="83" t="s">
        <v>3178</v>
      </c>
      <c r="E281" s="83" t="s">
        <v>3182</v>
      </c>
      <c r="F281" s="83" t="s">
        <v>3180</v>
      </c>
      <c r="G281" s="83" t="s">
        <v>3179</v>
      </c>
      <c r="H281" s="83" t="s">
        <v>3176</v>
      </c>
      <c r="I281" s="83" t="s">
        <v>3181</v>
      </c>
      <c r="J281" s="83" t="s">
        <v>3187</v>
      </c>
      <c r="K281" s="89" t="s">
        <v>3186</v>
      </c>
    </row>
    <row r="282" spans="2:11" x14ac:dyDescent="0.25">
      <c r="B282" s="88">
        <v>277</v>
      </c>
      <c r="C282" s="83" t="s">
        <v>3474</v>
      </c>
      <c r="D282" s="83" t="s">
        <v>3178</v>
      </c>
      <c r="E282" s="83" t="s">
        <v>3182</v>
      </c>
      <c r="F282" s="83" t="s">
        <v>3185</v>
      </c>
      <c r="G282" s="83" t="s">
        <v>3179</v>
      </c>
      <c r="H282" s="83" t="s">
        <v>3176</v>
      </c>
      <c r="I282" s="83" t="s">
        <v>3181</v>
      </c>
      <c r="J282" s="83" t="s">
        <v>3187</v>
      </c>
      <c r="K282" s="89" t="s">
        <v>3180</v>
      </c>
    </row>
    <row r="283" spans="2:11" x14ac:dyDescent="0.25">
      <c r="B283" s="88">
        <v>278</v>
      </c>
      <c r="C283" s="83" t="s">
        <v>3475</v>
      </c>
      <c r="D283" s="83" t="s">
        <v>3178</v>
      </c>
      <c r="E283" s="83" t="s">
        <v>3182</v>
      </c>
      <c r="F283" s="83" t="s">
        <v>3185</v>
      </c>
      <c r="G283" s="83" t="s">
        <v>3179</v>
      </c>
      <c r="H283" s="83" t="s">
        <v>3176</v>
      </c>
      <c r="I283" s="83" t="s">
        <v>3181</v>
      </c>
      <c r="J283" s="83" t="s">
        <v>3180</v>
      </c>
      <c r="K283" s="89" t="s">
        <v>3186</v>
      </c>
    </row>
    <row r="284" spans="2:11" x14ac:dyDescent="0.25">
      <c r="B284" s="88">
        <v>279</v>
      </c>
      <c r="C284" s="83" t="s">
        <v>3476</v>
      </c>
      <c r="D284" s="83" t="s">
        <v>3178</v>
      </c>
      <c r="E284" s="83" t="s">
        <v>3182</v>
      </c>
      <c r="F284" s="83" t="s">
        <v>3180</v>
      </c>
      <c r="G284" s="83" t="s">
        <v>3179</v>
      </c>
      <c r="H284" s="83" t="s">
        <v>3176</v>
      </c>
      <c r="I284" s="83" t="s">
        <v>3181</v>
      </c>
      <c r="J284" s="83" t="s">
        <v>3187</v>
      </c>
      <c r="K284" s="89" t="s">
        <v>3184</v>
      </c>
    </row>
    <row r="285" spans="2:11" x14ac:dyDescent="0.25">
      <c r="B285" s="88">
        <v>280</v>
      </c>
      <c r="C285" s="83" t="s">
        <v>3477</v>
      </c>
      <c r="D285" s="83" t="s">
        <v>3178</v>
      </c>
      <c r="E285" s="83" t="s">
        <v>3182</v>
      </c>
      <c r="F285" s="83" t="s">
        <v>3180</v>
      </c>
      <c r="G285" s="83" t="s">
        <v>3179</v>
      </c>
      <c r="H285" s="83" t="s">
        <v>3176</v>
      </c>
      <c r="I285" s="83" t="s">
        <v>3181</v>
      </c>
      <c r="J285" s="83" t="s">
        <v>3184</v>
      </c>
      <c r="K285" s="89" t="s">
        <v>3186</v>
      </c>
    </row>
    <row r="286" spans="2:11" x14ac:dyDescent="0.25">
      <c r="B286" s="88">
        <v>281</v>
      </c>
      <c r="C286" s="83" t="s">
        <v>3478</v>
      </c>
      <c r="D286" s="83" t="s">
        <v>3178</v>
      </c>
      <c r="E286" s="83" t="s">
        <v>3182</v>
      </c>
      <c r="F286" s="83" t="s">
        <v>3185</v>
      </c>
      <c r="G286" s="83" t="s">
        <v>3179</v>
      </c>
      <c r="H286" s="83" t="s">
        <v>3176</v>
      </c>
      <c r="I286" s="83" t="s">
        <v>3181</v>
      </c>
      <c r="J286" s="83" t="s">
        <v>3180</v>
      </c>
      <c r="K286" s="89" t="s">
        <v>3184</v>
      </c>
    </row>
    <row r="287" spans="2:11" x14ac:dyDescent="0.25">
      <c r="B287" s="88">
        <v>282</v>
      </c>
      <c r="C287" s="83" t="s">
        <v>3479</v>
      </c>
      <c r="D287" s="83" t="s">
        <v>3183</v>
      </c>
      <c r="E287" s="83" t="s">
        <v>3182</v>
      </c>
      <c r="F287" s="83" t="s">
        <v>3181</v>
      </c>
      <c r="G287" s="83" t="s">
        <v>3178</v>
      </c>
      <c r="H287" s="83" t="s">
        <v>3176</v>
      </c>
      <c r="I287" s="83" t="s">
        <v>3179</v>
      </c>
      <c r="J287" s="83" t="s">
        <v>3187</v>
      </c>
      <c r="K287" s="89" t="s">
        <v>3180</v>
      </c>
    </row>
    <row r="288" spans="2:11" x14ac:dyDescent="0.25">
      <c r="B288" s="88">
        <v>283</v>
      </c>
      <c r="C288" s="83" t="s">
        <v>3480</v>
      </c>
      <c r="D288" s="83" t="s">
        <v>3183</v>
      </c>
      <c r="E288" s="83" t="s">
        <v>3182</v>
      </c>
      <c r="F288" s="83" t="s">
        <v>3180</v>
      </c>
      <c r="G288" s="83" t="s">
        <v>3178</v>
      </c>
      <c r="H288" s="83" t="s">
        <v>3176</v>
      </c>
      <c r="I288" s="83" t="s">
        <v>3181</v>
      </c>
      <c r="J288" s="83" t="s">
        <v>3179</v>
      </c>
      <c r="K288" s="89" t="s">
        <v>3186</v>
      </c>
    </row>
    <row r="289" spans="2:11" x14ac:dyDescent="0.25">
      <c r="B289" s="88">
        <v>284</v>
      </c>
      <c r="C289" s="83" t="s">
        <v>3481</v>
      </c>
      <c r="D289" s="83" t="s">
        <v>3183</v>
      </c>
      <c r="E289" s="83" t="s">
        <v>3182</v>
      </c>
      <c r="F289" s="83" t="s">
        <v>3185</v>
      </c>
      <c r="G289" s="83" t="s">
        <v>3178</v>
      </c>
      <c r="H289" s="83" t="s">
        <v>3176</v>
      </c>
      <c r="I289" s="83" t="s">
        <v>3181</v>
      </c>
      <c r="J289" s="83" t="s">
        <v>3179</v>
      </c>
      <c r="K289" s="89" t="s">
        <v>3180</v>
      </c>
    </row>
    <row r="290" spans="2:11" x14ac:dyDescent="0.25">
      <c r="B290" s="88">
        <v>285</v>
      </c>
      <c r="C290" s="83" t="s">
        <v>3482</v>
      </c>
      <c r="D290" s="83" t="s">
        <v>3183</v>
      </c>
      <c r="E290" s="83" t="s">
        <v>3182</v>
      </c>
      <c r="F290" s="83" t="s">
        <v>3180</v>
      </c>
      <c r="G290" s="83" t="s">
        <v>3178</v>
      </c>
      <c r="H290" s="83" t="s">
        <v>3176</v>
      </c>
      <c r="I290" s="83" t="s">
        <v>3181</v>
      </c>
      <c r="J290" s="83" t="s">
        <v>3179</v>
      </c>
      <c r="K290" s="89" t="s">
        <v>3184</v>
      </c>
    </row>
    <row r="291" spans="2:11" x14ac:dyDescent="0.25">
      <c r="B291" s="88">
        <v>286</v>
      </c>
      <c r="C291" s="83" t="s">
        <v>3483</v>
      </c>
      <c r="D291" s="83" t="s">
        <v>3183</v>
      </c>
      <c r="E291" s="83" t="s">
        <v>3185</v>
      </c>
      <c r="F291" s="83" t="s">
        <v>3177</v>
      </c>
      <c r="G291" s="83" t="s">
        <v>3176</v>
      </c>
      <c r="H291" s="83" t="s">
        <v>3184</v>
      </c>
      <c r="I291" s="83" t="s">
        <v>3182</v>
      </c>
      <c r="J291" s="83" t="s">
        <v>3187</v>
      </c>
      <c r="K291" s="89" t="s">
        <v>3186</v>
      </c>
    </row>
    <row r="292" spans="2:11" x14ac:dyDescent="0.25">
      <c r="B292" s="88">
        <v>287</v>
      </c>
      <c r="C292" s="83" t="s">
        <v>3484</v>
      </c>
      <c r="D292" s="83" t="s">
        <v>3183</v>
      </c>
      <c r="E292" s="83" t="s">
        <v>3185</v>
      </c>
      <c r="F292" s="83" t="s">
        <v>3177</v>
      </c>
      <c r="G292" s="83" t="s">
        <v>3176</v>
      </c>
      <c r="H292" s="83" t="s">
        <v>3184</v>
      </c>
      <c r="I292" s="83" t="s">
        <v>3181</v>
      </c>
      <c r="J292" s="83" t="s">
        <v>3187</v>
      </c>
      <c r="K292" s="89" t="s">
        <v>3186</v>
      </c>
    </row>
    <row r="293" spans="2:11" x14ac:dyDescent="0.25">
      <c r="B293" s="88">
        <v>288</v>
      </c>
      <c r="C293" s="83" t="s">
        <v>3485</v>
      </c>
      <c r="D293" s="83" t="s">
        <v>3184</v>
      </c>
      <c r="E293" s="83" t="s">
        <v>3185</v>
      </c>
      <c r="F293" s="83" t="s">
        <v>3177</v>
      </c>
      <c r="G293" s="83" t="s">
        <v>3181</v>
      </c>
      <c r="H293" s="83" t="s">
        <v>3176</v>
      </c>
      <c r="I293" s="83" t="s">
        <v>3182</v>
      </c>
      <c r="J293" s="83" t="s">
        <v>3187</v>
      </c>
      <c r="K293" s="89" t="s">
        <v>3186</v>
      </c>
    </row>
    <row r="294" spans="2:11" x14ac:dyDescent="0.25">
      <c r="B294" s="88">
        <v>289</v>
      </c>
      <c r="C294" s="83" t="s">
        <v>3486</v>
      </c>
      <c r="D294" s="83" t="s">
        <v>3183</v>
      </c>
      <c r="E294" s="83" t="s">
        <v>3185</v>
      </c>
      <c r="F294" s="83" t="s">
        <v>3177</v>
      </c>
      <c r="G294" s="83" t="s">
        <v>3181</v>
      </c>
      <c r="H294" s="83" t="s">
        <v>3176</v>
      </c>
      <c r="I294" s="83" t="s">
        <v>3182</v>
      </c>
      <c r="J294" s="83" t="s">
        <v>3187</v>
      </c>
      <c r="K294" s="89" t="s">
        <v>3186</v>
      </c>
    </row>
    <row r="295" spans="2:11" x14ac:dyDescent="0.25">
      <c r="B295" s="88">
        <v>290</v>
      </c>
      <c r="C295" s="83" t="s">
        <v>3487</v>
      </c>
      <c r="D295" s="83" t="s">
        <v>3183</v>
      </c>
      <c r="E295" s="83" t="s">
        <v>3182</v>
      </c>
      <c r="F295" s="83" t="s">
        <v>3177</v>
      </c>
      <c r="G295" s="83" t="s">
        <v>3176</v>
      </c>
      <c r="H295" s="83" t="s">
        <v>3184</v>
      </c>
      <c r="I295" s="83" t="s">
        <v>3181</v>
      </c>
      <c r="J295" s="83" t="s">
        <v>3187</v>
      </c>
      <c r="K295" s="89" t="s">
        <v>3186</v>
      </c>
    </row>
    <row r="296" spans="2:11" x14ac:dyDescent="0.25">
      <c r="B296" s="88">
        <v>291</v>
      </c>
      <c r="C296" s="83" t="s">
        <v>3488</v>
      </c>
      <c r="D296" s="83" t="s">
        <v>3183</v>
      </c>
      <c r="E296" s="83" t="s">
        <v>3185</v>
      </c>
      <c r="F296" s="83" t="s">
        <v>3177</v>
      </c>
      <c r="G296" s="83" t="s">
        <v>3181</v>
      </c>
      <c r="H296" s="83" t="s">
        <v>3176</v>
      </c>
      <c r="I296" s="83" t="s">
        <v>3182</v>
      </c>
      <c r="J296" s="83" t="s">
        <v>3187</v>
      </c>
      <c r="K296" s="89" t="s">
        <v>3184</v>
      </c>
    </row>
    <row r="297" spans="2:11" x14ac:dyDescent="0.25">
      <c r="B297" s="88">
        <v>292</v>
      </c>
      <c r="C297" s="83" t="s">
        <v>3489</v>
      </c>
      <c r="D297" s="83" t="s">
        <v>3183</v>
      </c>
      <c r="E297" s="83" t="s">
        <v>3185</v>
      </c>
      <c r="F297" s="83" t="s">
        <v>3177</v>
      </c>
      <c r="G297" s="83" t="s">
        <v>3181</v>
      </c>
      <c r="H297" s="83" t="s">
        <v>3176</v>
      </c>
      <c r="I297" s="83" t="s">
        <v>3182</v>
      </c>
      <c r="J297" s="83" t="s">
        <v>3184</v>
      </c>
      <c r="K297" s="89" t="s">
        <v>3186</v>
      </c>
    </row>
    <row r="298" spans="2:11" x14ac:dyDescent="0.25">
      <c r="B298" s="88">
        <v>293</v>
      </c>
      <c r="C298" s="83" t="s">
        <v>3490</v>
      </c>
      <c r="D298" s="83" t="s">
        <v>3180</v>
      </c>
      <c r="E298" s="83" t="s">
        <v>3185</v>
      </c>
      <c r="F298" s="83" t="s">
        <v>3177</v>
      </c>
      <c r="G298" s="83" t="s">
        <v>3176</v>
      </c>
      <c r="H298" s="83" t="s">
        <v>3184</v>
      </c>
      <c r="I298" s="83" t="s">
        <v>3183</v>
      </c>
      <c r="J298" s="83" t="s">
        <v>3187</v>
      </c>
      <c r="K298" s="89" t="s">
        <v>3186</v>
      </c>
    </row>
    <row r="299" spans="2:11" x14ac:dyDescent="0.25">
      <c r="B299" s="88">
        <v>294</v>
      </c>
      <c r="C299" s="83" t="s">
        <v>3491</v>
      </c>
      <c r="D299" s="83" t="s">
        <v>3180</v>
      </c>
      <c r="E299" s="83" t="s">
        <v>3185</v>
      </c>
      <c r="F299" s="83" t="s">
        <v>3177</v>
      </c>
      <c r="G299" s="83" t="s">
        <v>3176</v>
      </c>
      <c r="H299" s="83" t="s">
        <v>3184</v>
      </c>
      <c r="I299" s="83" t="s">
        <v>3182</v>
      </c>
      <c r="J299" s="83" t="s">
        <v>3187</v>
      </c>
      <c r="K299" s="89" t="s">
        <v>3186</v>
      </c>
    </row>
    <row r="300" spans="2:11" x14ac:dyDescent="0.25">
      <c r="B300" s="88">
        <v>295</v>
      </c>
      <c r="C300" s="83" t="s">
        <v>3492</v>
      </c>
      <c r="D300" s="83" t="s">
        <v>3180</v>
      </c>
      <c r="E300" s="83" t="s">
        <v>3185</v>
      </c>
      <c r="F300" s="83" t="s">
        <v>3177</v>
      </c>
      <c r="G300" s="83" t="s">
        <v>3176</v>
      </c>
      <c r="H300" s="83" t="s">
        <v>3183</v>
      </c>
      <c r="I300" s="83" t="s">
        <v>3182</v>
      </c>
      <c r="J300" s="83" t="s">
        <v>3187</v>
      </c>
      <c r="K300" s="89" t="s">
        <v>3186</v>
      </c>
    </row>
    <row r="301" spans="2:11" x14ac:dyDescent="0.25">
      <c r="B301" s="88">
        <v>296</v>
      </c>
      <c r="C301" s="83" t="s">
        <v>3493</v>
      </c>
      <c r="D301" s="83" t="s">
        <v>3180</v>
      </c>
      <c r="E301" s="83" t="s">
        <v>3182</v>
      </c>
      <c r="F301" s="83" t="s">
        <v>3177</v>
      </c>
      <c r="G301" s="83" t="s">
        <v>3176</v>
      </c>
      <c r="H301" s="83" t="s">
        <v>3184</v>
      </c>
      <c r="I301" s="83" t="s">
        <v>3183</v>
      </c>
      <c r="J301" s="83" t="s">
        <v>3187</v>
      </c>
      <c r="K301" s="89" t="s">
        <v>3186</v>
      </c>
    </row>
    <row r="302" spans="2:11" x14ac:dyDescent="0.25">
      <c r="B302" s="88">
        <v>297</v>
      </c>
      <c r="C302" s="83" t="s">
        <v>3494</v>
      </c>
      <c r="D302" s="83" t="s">
        <v>3180</v>
      </c>
      <c r="E302" s="83" t="s">
        <v>3185</v>
      </c>
      <c r="F302" s="83" t="s">
        <v>3177</v>
      </c>
      <c r="G302" s="83" t="s">
        <v>3176</v>
      </c>
      <c r="H302" s="83" t="s">
        <v>3183</v>
      </c>
      <c r="I302" s="83" t="s">
        <v>3182</v>
      </c>
      <c r="J302" s="83" t="s">
        <v>3187</v>
      </c>
      <c r="K302" s="89" t="s">
        <v>3184</v>
      </c>
    </row>
    <row r="303" spans="2:11" x14ac:dyDescent="0.25">
      <c r="B303" s="88">
        <v>298</v>
      </c>
      <c r="C303" s="83" t="s">
        <v>3495</v>
      </c>
      <c r="D303" s="83" t="s">
        <v>3180</v>
      </c>
      <c r="E303" s="83" t="s">
        <v>3185</v>
      </c>
      <c r="F303" s="83" t="s">
        <v>3177</v>
      </c>
      <c r="G303" s="83" t="s">
        <v>3176</v>
      </c>
      <c r="H303" s="83" t="s">
        <v>3183</v>
      </c>
      <c r="I303" s="83" t="s">
        <v>3182</v>
      </c>
      <c r="J303" s="83" t="s">
        <v>3184</v>
      </c>
      <c r="K303" s="89" t="s">
        <v>3186</v>
      </c>
    </row>
    <row r="304" spans="2:11" x14ac:dyDescent="0.25">
      <c r="B304" s="88">
        <v>299</v>
      </c>
      <c r="C304" s="83" t="s">
        <v>3496</v>
      </c>
      <c r="D304" s="83" t="s">
        <v>3180</v>
      </c>
      <c r="E304" s="83" t="s">
        <v>3185</v>
      </c>
      <c r="F304" s="83" t="s">
        <v>3177</v>
      </c>
      <c r="G304" s="83" t="s">
        <v>3176</v>
      </c>
      <c r="H304" s="83" t="s">
        <v>3184</v>
      </c>
      <c r="I304" s="83" t="s">
        <v>3181</v>
      </c>
      <c r="J304" s="83" t="s">
        <v>3187</v>
      </c>
      <c r="K304" s="89" t="s">
        <v>3186</v>
      </c>
    </row>
    <row r="305" spans="2:11" x14ac:dyDescent="0.25">
      <c r="B305" s="88">
        <v>300</v>
      </c>
      <c r="C305" s="83" t="s">
        <v>3497</v>
      </c>
      <c r="D305" s="83" t="s">
        <v>3180</v>
      </c>
      <c r="E305" s="83" t="s">
        <v>3185</v>
      </c>
      <c r="F305" s="83" t="s">
        <v>3177</v>
      </c>
      <c r="G305" s="83" t="s">
        <v>3181</v>
      </c>
      <c r="H305" s="83" t="s">
        <v>3176</v>
      </c>
      <c r="I305" s="83" t="s">
        <v>3183</v>
      </c>
      <c r="J305" s="83" t="s">
        <v>3187</v>
      </c>
      <c r="K305" s="89" t="s">
        <v>3186</v>
      </c>
    </row>
    <row r="306" spans="2:11" x14ac:dyDescent="0.25">
      <c r="B306" s="88">
        <v>301</v>
      </c>
      <c r="C306" s="83" t="s">
        <v>3498</v>
      </c>
      <c r="D306" s="83" t="s">
        <v>3180</v>
      </c>
      <c r="E306" s="83" t="s">
        <v>3184</v>
      </c>
      <c r="F306" s="83" t="s">
        <v>3177</v>
      </c>
      <c r="G306" s="83" t="s">
        <v>3181</v>
      </c>
      <c r="H306" s="83" t="s">
        <v>3176</v>
      </c>
      <c r="I306" s="83" t="s">
        <v>3183</v>
      </c>
      <c r="J306" s="83" t="s">
        <v>3187</v>
      </c>
      <c r="K306" s="89" t="s">
        <v>3186</v>
      </c>
    </row>
    <row r="307" spans="2:11" x14ac:dyDescent="0.25">
      <c r="B307" s="88">
        <v>302</v>
      </c>
      <c r="C307" s="83" t="s">
        <v>3499</v>
      </c>
      <c r="D307" s="83" t="s">
        <v>3180</v>
      </c>
      <c r="E307" s="83" t="s">
        <v>3185</v>
      </c>
      <c r="F307" s="83" t="s">
        <v>3177</v>
      </c>
      <c r="G307" s="83" t="s">
        <v>3181</v>
      </c>
      <c r="H307" s="83" t="s">
        <v>3176</v>
      </c>
      <c r="I307" s="83" t="s">
        <v>3183</v>
      </c>
      <c r="J307" s="83" t="s">
        <v>3187</v>
      </c>
      <c r="K307" s="89" t="s">
        <v>3184</v>
      </c>
    </row>
    <row r="308" spans="2:11" x14ac:dyDescent="0.25">
      <c r="B308" s="88">
        <v>303</v>
      </c>
      <c r="C308" s="83" t="s">
        <v>3500</v>
      </c>
      <c r="D308" s="83" t="s">
        <v>3180</v>
      </c>
      <c r="E308" s="83" t="s">
        <v>3185</v>
      </c>
      <c r="F308" s="83" t="s">
        <v>3177</v>
      </c>
      <c r="G308" s="83" t="s">
        <v>3181</v>
      </c>
      <c r="H308" s="83" t="s">
        <v>3176</v>
      </c>
      <c r="I308" s="83" t="s">
        <v>3183</v>
      </c>
      <c r="J308" s="83" t="s">
        <v>3184</v>
      </c>
      <c r="K308" s="89" t="s">
        <v>3186</v>
      </c>
    </row>
    <row r="309" spans="2:11" x14ac:dyDescent="0.25">
      <c r="B309" s="88">
        <v>304</v>
      </c>
      <c r="C309" s="83" t="s">
        <v>3501</v>
      </c>
      <c r="D309" s="83" t="s">
        <v>3180</v>
      </c>
      <c r="E309" s="83" t="s">
        <v>3185</v>
      </c>
      <c r="F309" s="83" t="s">
        <v>3177</v>
      </c>
      <c r="G309" s="83" t="s">
        <v>3181</v>
      </c>
      <c r="H309" s="83" t="s">
        <v>3176</v>
      </c>
      <c r="I309" s="83" t="s">
        <v>3182</v>
      </c>
      <c r="J309" s="83" t="s">
        <v>3187</v>
      </c>
      <c r="K309" s="89" t="s">
        <v>3186</v>
      </c>
    </row>
    <row r="310" spans="2:11" x14ac:dyDescent="0.25">
      <c r="B310" s="88">
        <v>305</v>
      </c>
      <c r="C310" s="83" t="s">
        <v>3502</v>
      </c>
      <c r="D310" s="83" t="s">
        <v>3180</v>
      </c>
      <c r="E310" s="83" t="s">
        <v>3182</v>
      </c>
      <c r="F310" s="83" t="s">
        <v>3177</v>
      </c>
      <c r="G310" s="83" t="s">
        <v>3176</v>
      </c>
      <c r="H310" s="83" t="s">
        <v>3184</v>
      </c>
      <c r="I310" s="83" t="s">
        <v>3181</v>
      </c>
      <c r="J310" s="83" t="s">
        <v>3187</v>
      </c>
      <c r="K310" s="89" t="s">
        <v>3186</v>
      </c>
    </row>
    <row r="311" spans="2:11" x14ac:dyDescent="0.25">
      <c r="B311" s="88">
        <v>306</v>
      </c>
      <c r="C311" s="83" t="s">
        <v>3503</v>
      </c>
      <c r="D311" s="83" t="s">
        <v>3180</v>
      </c>
      <c r="E311" s="83" t="s">
        <v>3185</v>
      </c>
      <c r="F311" s="83" t="s">
        <v>3177</v>
      </c>
      <c r="G311" s="83" t="s">
        <v>3181</v>
      </c>
      <c r="H311" s="83" t="s">
        <v>3176</v>
      </c>
      <c r="I311" s="83" t="s">
        <v>3182</v>
      </c>
      <c r="J311" s="83" t="s">
        <v>3187</v>
      </c>
      <c r="K311" s="89" t="s">
        <v>3184</v>
      </c>
    </row>
    <row r="312" spans="2:11" x14ac:dyDescent="0.25">
      <c r="B312" s="88">
        <v>307</v>
      </c>
      <c r="C312" s="83" t="s">
        <v>3504</v>
      </c>
      <c r="D312" s="83" t="s">
        <v>3180</v>
      </c>
      <c r="E312" s="83" t="s">
        <v>3185</v>
      </c>
      <c r="F312" s="83" t="s">
        <v>3177</v>
      </c>
      <c r="G312" s="83" t="s">
        <v>3181</v>
      </c>
      <c r="H312" s="83" t="s">
        <v>3176</v>
      </c>
      <c r="I312" s="83" t="s">
        <v>3182</v>
      </c>
      <c r="J312" s="83" t="s">
        <v>3184</v>
      </c>
      <c r="K312" s="89" t="s">
        <v>3186</v>
      </c>
    </row>
    <row r="313" spans="2:11" x14ac:dyDescent="0.25">
      <c r="B313" s="88">
        <v>308</v>
      </c>
      <c r="C313" s="83" t="s">
        <v>3505</v>
      </c>
      <c r="D313" s="83" t="s">
        <v>3180</v>
      </c>
      <c r="E313" s="83" t="s">
        <v>3182</v>
      </c>
      <c r="F313" s="83" t="s">
        <v>3177</v>
      </c>
      <c r="G313" s="83" t="s">
        <v>3181</v>
      </c>
      <c r="H313" s="83" t="s">
        <v>3176</v>
      </c>
      <c r="I313" s="83" t="s">
        <v>3183</v>
      </c>
      <c r="J313" s="83" t="s">
        <v>3187</v>
      </c>
      <c r="K313" s="89" t="s">
        <v>3186</v>
      </c>
    </row>
    <row r="314" spans="2:11" x14ac:dyDescent="0.25">
      <c r="B314" s="88">
        <v>309</v>
      </c>
      <c r="C314" s="83" t="s">
        <v>3506</v>
      </c>
      <c r="D314" s="83" t="s">
        <v>3183</v>
      </c>
      <c r="E314" s="83" t="s">
        <v>3185</v>
      </c>
      <c r="F314" s="83" t="s">
        <v>3177</v>
      </c>
      <c r="G314" s="83" t="s">
        <v>3181</v>
      </c>
      <c r="H314" s="83" t="s">
        <v>3176</v>
      </c>
      <c r="I314" s="83" t="s">
        <v>3182</v>
      </c>
      <c r="J314" s="83" t="s">
        <v>3187</v>
      </c>
      <c r="K314" s="89" t="s">
        <v>3180</v>
      </c>
    </row>
    <row r="315" spans="2:11" x14ac:dyDescent="0.25">
      <c r="B315" s="88">
        <v>310</v>
      </c>
      <c r="C315" s="83" t="s">
        <v>3507</v>
      </c>
      <c r="D315" s="83" t="s">
        <v>3183</v>
      </c>
      <c r="E315" s="83" t="s">
        <v>3185</v>
      </c>
      <c r="F315" s="83" t="s">
        <v>3177</v>
      </c>
      <c r="G315" s="83" t="s">
        <v>3181</v>
      </c>
      <c r="H315" s="83" t="s">
        <v>3176</v>
      </c>
      <c r="I315" s="83" t="s">
        <v>3182</v>
      </c>
      <c r="J315" s="83" t="s">
        <v>3180</v>
      </c>
      <c r="K315" s="89" t="s">
        <v>3186</v>
      </c>
    </row>
    <row r="316" spans="2:11" x14ac:dyDescent="0.25">
      <c r="B316" s="88">
        <v>311</v>
      </c>
      <c r="C316" s="83" t="s">
        <v>3508</v>
      </c>
      <c r="D316" s="83" t="s">
        <v>3180</v>
      </c>
      <c r="E316" s="83" t="s">
        <v>3182</v>
      </c>
      <c r="F316" s="83" t="s">
        <v>3177</v>
      </c>
      <c r="G316" s="83" t="s">
        <v>3181</v>
      </c>
      <c r="H316" s="83" t="s">
        <v>3176</v>
      </c>
      <c r="I316" s="83" t="s">
        <v>3183</v>
      </c>
      <c r="J316" s="83" t="s">
        <v>3187</v>
      </c>
      <c r="K316" s="89" t="s">
        <v>3184</v>
      </c>
    </row>
    <row r="317" spans="2:11" x14ac:dyDescent="0.25">
      <c r="B317" s="88">
        <v>312</v>
      </c>
      <c r="C317" s="83" t="s">
        <v>3509</v>
      </c>
      <c r="D317" s="83" t="s">
        <v>3180</v>
      </c>
      <c r="E317" s="83" t="s">
        <v>3182</v>
      </c>
      <c r="F317" s="83" t="s">
        <v>3177</v>
      </c>
      <c r="G317" s="83" t="s">
        <v>3181</v>
      </c>
      <c r="H317" s="83" t="s">
        <v>3176</v>
      </c>
      <c r="I317" s="83" t="s">
        <v>3183</v>
      </c>
      <c r="J317" s="83" t="s">
        <v>3184</v>
      </c>
      <c r="K317" s="89" t="s">
        <v>3186</v>
      </c>
    </row>
    <row r="318" spans="2:11" x14ac:dyDescent="0.25">
      <c r="B318" s="88">
        <v>313</v>
      </c>
      <c r="C318" s="83" t="s">
        <v>3510</v>
      </c>
      <c r="D318" s="83" t="s">
        <v>3183</v>
      </c>
      <c r="E318" s="83" t="s">
        <v>3185</v>
      </c>
      <c r="F318" s="83" t="s">
        <v>3177</v>
      </c>
      <c r="G318" s="83" t="s">
        <v>3181</v>
      </c>
      <c r="H318" s="83" t="s">
        <v>3176</v>
      </c>
      <c r="I318" s="83" t="s">
        <v>3182</v>
      </c>
      <c r="J318" s="83" t="s">
        <v>3180</v>
      </c>
      <c r="K318" s="89" t="s">
        <v>3184</v>
      </c>
    </row>
    <row r="319" spans="2:11" x14ac:dyDescent="0.25">
      <c r="B319" s="88">
        <v>314</v>
      </c>
      <c r="C319" s="83" t="s">
        <v>3511</v>
      </c>
      <c r="D319" s="83" t="s">
        <v>3184</v>
      </c>
      <c r="E319" s="83" t="s">
        <v>3185</v>
      </c>
      <c r="F319" s="83" t="s">
        <v>3177</v>
      </c>
      <c r="G319" s="83" t="s">
        <v>3179</v>
      </c>
      <c r="H319" s="83" t="s">
        <v>3176</v>
      </c>
      <c r="I319" s="83" t="s">
        <v>3183</v>
      </c>
      <c r="J319" s="83" t="s">
        <v>3187</v>
      </c>
      <c r="K319" s="89" t="s">
        <v>3186</v>
      </c>
    </row>
    <row r="320" spans="2:11" x14ac:dyDescent="0.25">
      <c r="B320" s="88">
        <v>315</v>
      </c>
      <c r="C320" s="83" t="s">
        <v>3512</v>
      </c>
      <c r="D320" s="83" t="s">
        <v>3184</v>
      </c>
      <c r="E320" s="83" t="s">
        <v>3185</v>
      </c>
      <c r="F320" s="83" t="s">
        <v>3177</v>
      </c>
      <c r="G320" s="83" t="s">
        <v>3179</v>
      </c>
      <c r="H320" s="83" t="s">
        <v>3176</v>
      </c>
      <c r="I320" s="83" t="s">
        <v>3182</v>
      </c>
      <c r="J320" s="83" t="s">
        <v>3187</v>
      </c>
      <c r="K320" s="89" t="s">
        <v>3186</v>
      </c>
    </row>
    <row r="321" spans="2:11" x14ac:dyDescent="0.25">
      <c r="B321" s="88">
        <v>316</v>
      </c>
      <c r="C321" s="83" t="s">
        <v>3513</v>
      </c>
      <c r="D321" s="83" t="s">
        <v>3183</v>
      </c>
      <c r="E321" s="83" t="s">
        <v>3185</v>
      </c>
      <c r="F321" s="83" t="s">
        <v>3177</v>
      </c>
      <c r="G321" s="83" t="s">
        <v>3179</v>
      </c>
      <c r="H321" s="83" t="s">
        <v>3176</v>
      </c>
      <c r="I321" s="83" t="s">
        <v>3182</v>
      </c>
      <c r="J321" s="83" t="s">
        <v>3187</v>
      </c>
      <c r="K321" s="89" t="s">
        <v>3186</v>
      </c>
    </row>
    <row r="322" spans="2:11" x14ac:dyDescent="0.25">
      <c r="B322" s="88">
        <v>317</v>
      </c>
      <c r="C322" s="83" t="s">
        <v>3514</v>
      </c>
      <c r="D322" s="83" t="s">
        <v>3184</v>
      </c>
      <c r="E322" s="83" t="s">
        <v>3182</v>
      </c>
      <c r="F322" s="83" t="s">
        <v>3177</v>
      </c>
      <c r="G322" s="83" t="s">
        <v>3179</v>
      </c>
      <c r="H322" s="83" t="s">
        <v>3176</v>
      </c>
      <c r="I322" s="83" t="s">
        <v>3183</v>
      </c>
      <c r="J322" s="83" t="s">
        <v>3187</v>
      </c>
      <c r="K322" s="89" t="s">
        <v>3186</v>
      </c>
    </row>
    <row r="323" spans="2:11" x14ac:dyDescent="0.25">
      <c r="B323" s="88">
        <v>318</v>
      </c>
      <c r="C323" s="83" t="s">
        <v>3515</v>
      </c>
      <c r="D323" s="83" t="s">
        <v>3183</v>
      </c>
      <c r="E323" s="83" t="s">
        <v>3185</v>
      </c>
      <c r="F323" s="83" t="s">
        <v>3177</v>
      </c>
      <c r="G323" s="83" t="s">
        <v>3179</v>
      </c>
      <c r="H323" s="83" t="s">
        <v>3176</v>
      </c>
      <c r="I323" s="83" t="s">
        <v>3182</v>
      </c>
      <c r="J323" s="83" t="s">
        <v>3187</v>
      </c>
      <c r="K323" s="89" t="s">
        <v>3184</v>
      </c>
    </row>
    <row r="324" spans="2:11" x14ac:dyDescent="0.25">
      <c r="B324" s="88">
        <v>319</v>
      </c>
      <c r="C324" s="83" t="s">
        <v>3516</v>
      </c>
      <c r="D324" s="83" t="s">
        <v>3183</v>
      </c>
      <c r="E324" s="83" t="s">
        <v>3185</v>
      </c>
      <c r="F324" s="83" t="s">
        <v>3177</v>
      </c>
      <c r="G324" s="83" t="s">
        <v>3179</v>
      </c>
      <c r="H324" s="83" t="s">
        <v>3176</v>
      </c>
      <c r="I324" s="83" t="s">
        <v>3182</v>
      </c>
      <c r="J324" s="83" t="s">
        <v>3184</v>
      </c>
      <c r="K324" s="89" t="s">
        <v>3186</v>
      </c>
    </row>
    <row r="325" spans="2:11" x14ac:dyDescent="0.25">
      <c r="B325" s="88">
        <v>320</v>
      </c>
      <c r="C325" s="83" t="s">
        <v>3517</v>
      </c>
      <c r="D325" s="83" t="s">
        <v>3184</v>
      </c>
      <c r="E325" s="83" t="s">
        <v>3185</v>
      </c>
      <c r="F325" s="83" t="s">
        <v>3177</v>
      </c>
      <c r="G325" s="83" t="s">
        <v>3179</v>
      </c>
      <c r="H325" s="83" t="s">
        <v>3176</v>
      </c>
      <c r="I325" s="83" t="s">
        <v>3181</v>
      </c>
      <c r="J325" s="83" t="s">
        <v>3187</v>
      </c>
      <c r="K325" s="89" t="s">
        <v>3186</v>
      </c>
    </row>
    <row r="326" spans="2:11" x14ac:dyDescent="0.25">
      <c r="B326" s="88">
        <v>321</v>
      </c>
      <c r="C326" s="83" t="s">
        <v>3518</v>
      </c>
      <c r="D326" s="83" t="s">
        <v>3183</v>
      </c>
      <c r="E326" s="83" t="s">
        <v>3185</v>
      </c>
      <c r="F326" s="83" t="s">
        <v>3177</v>
      </c>
      <c r="G326" s="83" t="s">
        <v>3179</v>
      </c>
      <c r="H326" s="83" t="s">
        <v>3176</v>
      </c>
      <c r="I326" s="83" t="s">
        <v>3181</v>
      </c>
      <c r="J326" s="83" t="s">
        <v>3187</v>
      </c>
      <c r="K326" s="89" t="s">
        <v>3186</v>
      </c>
    </row>
    <row r="327" spans="2:11" x14ac:dyDescent="0.25">
      <c r="B327" s="88">
        <v>322</v>
      </c>
      <c r="C327" s="83" t="s">
        <v>3519</v>
      </c>
      <c r="D327" s="83" t="s">
        <v>3183</v>
      </c>
      <c r="E327" s="83" t="s">
        <v>3184</v>
      </c>
      <c r="F327" s="83" t="s">
        <v>3177</v>
      </c>
      <c r="G327" s="83" t="s">
        <v>3179</v>
      </c>
      <c r="H327" s="83" t="s">
        <v>3176</v>
      </c>
      <c r="I327" s="83" t="s">
        <v>3181</v>
      </c>
      <c r="J327" s="83" t="s">
        <v>3187</v>
      </c>
      <c r="K327" s="89" t="s">
        <v>3186</v>
      </c>
    </row>
    <row r="328" spans="2:11" x14ac:dyDescent="0.25">
      <c r="B328" s="88">
        <v>323</v>
      </c>
      <c r="C328" s="83" t="s">
        <v>3520</v>
      </c>
      <c r="D328" s="83" t="s">
        <v>3183</v>
      </c>
      <c r="E328" s="83" t="s">
        <v>3185</v>
      </c>
      <c r="F328" s="83" t="s">
        <v>3177</v>
      </c>
      <c r="G328" s="83" t="s">
        <v>3179</v>
      </c>
      <c r="H328" s="83" t="s">
        <v>3176</v>
      </c>
      <c r="I328" s="83" t="s">
        <v>3181</v>
      </c>
      <c r="J328" s="83" t="s">
        <v>3187</v>
      </c>
      <c r="K328" s="89" t="s">
        <v>3184</v>
      </c>
    </row>
    <row r="329" spans="2:11" x14ac:dyDescent="0.25">
      <c r="B329" s="88">
        <v>324</v>
      </c>
      <c r="C329" s="83" t="s">
        <v>3521</v>
      </c>
      <c r="D329" s="83" t="s">
        <v>3183</v>
      </c>
      <c r="E329" s="83" t="s">
        <v>3185</v>
      </c>
      <c r="F329" s="83" t="s">
        <v>3177</v>
      </c>
      <c r="G329" s="83" t="s">
        <v>3179</v>
      </c>
      <c r="H329" s="83" t="s">
        <v>3176</v>
      </c>
      <c r="I329" s="83" t="s">
        <v>3181</v>
      </c>
      <c r="J329" s="83" t="s">
        <v>3184</v>
      </c>
      <c r="K329" s="89" t="s">
        <v>3186</v>
      </c>
    </row>
    <row r="330" spans="2:11" x14ac:dyDescent="0.25">
      <c r="B330" s="88">
        <v>325</v>
      </c>
      <c r="C330" s="83" t="s">
        <v>3522</v>
      </c>
      <c r="D330" s="83" t="s">
        <v>3181</v>
      </c>
      <c r="E330" s="83" t="s">
        <v>3185</v>
      </c>
      <c r="F330" s="83" t="s">
        <v>3177</v>
      </c>
      <c r="G330" s="83" t="s">
        <v>3179</v>
      </c>
      <c r="H330" s="83" t="s">
        <v>3176</v>
      </c>
      <c r="I330" s="83" t="s">
        <v>3182</v>
      </c>
      <c r="J330" s="83" t="s">
        <v>3187</v>
      </c>
      <c r="K330" s="89" t="s">
        <v>3186</v>
      </c>
    </row>
    <row r="331" spans="2:11" x14ac:dyDescent="0.25">
      <c r="B331" s="88">
        <v>326</v>
      </c>
      <c r="C331" s="83" t="s">
        <v>3523</v>
      </c>
      <c r="D331" s="83" t="s">
        <v>3184</v>
      </c>
      <c r="E331" s="83" t="s">
        <v>3182</v>
      </c>
      <c r="F331" s="83" t="s">
        <v>3177</v>
      </c>
      <c r="G331" s="83" t="s">
        <v>3179</v>
      </c>
      <c r="H331" s="83" t="s">
        <v>3176</v>
      </c>
      <c r="I331" s="83" t="s">
        <v>3181</v>
      </c>
      <c r="J331" s="83" t="s">
        <v>3187</v>
      </c>
      <c r="K331" s="89" t="s">
        <v>3186</v>
      </c>
    </row>
    <row r="332" spans="2:11" x14ac:dyDescent="0.25">
      <c r="B332" s="88">
        <v>327</v>
      </c>
      <c r="C332" s="83" t="s">
        <v>3524</v>
      </c>
      <c r="D332" s="83" t="s">
        <v>3181</v>
      </c>
      <c r="E332" s="83" t="s">
        <v>3185</v>
      </c>
      <c r="F332" s="83" t="s">
        <v>3177</v>
      </c>
      <c r="G332" s="83" t="s">
        <v>3179</v>
      </c>
      <c r="H332" s="83" t="s">
        <v>3176</v>
      </c>
      <c r="I332" s="83" t="s">
        <v>3182</v>
      </c>
      <c r="J332" s="83" t="s">
        <v>3187</v>
      </c>
      <c r="K332" s="89" t="s">
        <v>3184</v>
      </c>
    </row>
    <row r="333" spans="2:11" x14ac:dyDescent="0.25">
      <c r="B333" s="88">
        <v>328</v>
      </c>
      <c r="C333" s="83" t="s">
        <v>3525</v>
      </c>
      <c r="D333" s="83" t="s">
        <v>3181</v>
      </c>
      <c r="E333" s="83" t="s">
        <v>3185</v>
      </c>
      <c r="F333" s="83" t="s">
        <v>3177</v>
      </c>
      <c r="G333" s="83" t="s">
        <v>3179</v>
      </c>
      <c r="H333" s="83" t="s">
        <v>3176</v>
      </c>
      <c r="I333" s="83" t="s">
        <v>3182</v>
      </c>
      <c r="J333" s="83" t="s">
        <v>3184</v>
      </c>
      <c r="K333" s="89" t="s">
        <v>3186</v>
      </c>
    </row>
    <row r="334" spans="2:11" x14ac:dyDescent="0.25">
      <c r="B334" s="88">
        <v>329</v>
      </c>
      <c r="C334" s="83" t="s">
        <v>3526</v>
      </c>
      <c r="D334" s="83" t="s">
        <v>3183</v>
      </c>
      <c r="E334" s="83" t="s">
        <v>3182</v>
      </c>
      <c r="F334" s="83" t="s">
        <v>3177</v>
      </c>
      <c r="G334" s="83" t="s">
        <v>3179</v>
      </c>
      <c r="H334" s="83" t="s">
        <v>3176</v>
      </c>
      <c r="I334" s="83" t="s">
        <v>3181</v>
      </c>
      <c r="J334" s="83" t="s">
        <v>3187</v>
      </c>
      <c r="K334" s="89" t="s">
        <v>3186</v>
      </c>
    </row>
    <row r="335" spans="2:11" x14ac:dyDescent="0.25">
      <c r="B335" s="88">
        <v>330</v>
      </c>
      <c r="C335" s="83" t="s">
        <v>3527</v>
      </c>
      <c r="D335" s="83" t="s">
        <v>3183</v>
      </c>
      <c r="E335" s="83" t="s">
        <v>3182</v>
      </c>
      <c r="F335" s="83" t="s">
        <v>3177</v>
      </c>
      <c r="G335" s="83" t="s">
        <v>3179</v>
      </c>
      <c r="H335" s="83" t="s">
        <v>3176</v>
      </c>
      <c r="I335" s="83" t="s">
        <v>3181</v>
      </c>
      <c r="J335" s="83" t="s">
        <v>3187</v>
      </c>
      <c r="K335" s="89" t="s">
        <v>3185</v>
      </c>
    </row>
    <row r="336" spans="2:11" x14ac:dyDescent="0.25">
      <c r="B336" s="88">
        <v>331</v>
      </c>
      <c r="C336" s="83" t="s">
        <v>3528</v>
      </c>
      <c r="D336" s="83" t="s">
        <v>3183</v>
      </c>
      <c r="E336" s="83" t="s">
        <v>3182</v>
      </c>
      <c r="F336" s="83" t="s">
        <v>3177</v>
      </c>
      <c r="G336" s="83" t="s">
        <v>3179</v>
      </c>
      <c r="H336" s="83" t="s">
        <v>3176</v>
      </c>
      <c r="I336" s="83" t="s">
        <v>3181</v>
      </c>
      <c r="J336" s="83" t="s">
        <v>3185</v>
      </c>
      <c r="K336" s="89" t="s">
        <v>3186</v>
      </c>
    </row>
    <row r="337" spans="2:11" x14ac:dyDescent="0.25">
      <c r="B337" s="88">
        <v>332</v>
      </c>
      <c r="C337" s="83" t="s">
        <v>3529</v>
      </c>
      <c r="D337" s="83" t="s">
        <v>3183</v>
      </c>
      <c r="E337" s="83" t="s">
        <v>3182</v>
      </c>
      <c r="F337" s="83" t="s">
        <v>3177</v>
      </c>
      <c r="G337" s="83" t="s">
        <v>3179</v>
      </c>
      <c r="H337" s="83" t="s">
        <v>3176</v>
      </c>
      <c r="I337" s="83" t="s">
        <v>3181</v>
      </c>
      <c r="J337" s="83" t="s">
        <v>3187</v>
      </c>
      <c r="K337" s="89" t="s">
        <v>3184</v>
      </c>
    </row>
    <row r="338" spans="2:11" x14ac:dyDescent="0.25">
      <c r="B338" s="88">
        <v>333</v>
      </c>
      <c r="C338" s="83" t="s">
        <v>3530</v>
      </c>
      <c r="D338" s="83" t="s">
        <v>3183</v>
      </c>
      <c r="E338" s="83" t="s">
        <v>3182</v>
      </c>
      <c r="F338" s="83" t="s">
        <v>3177</v>
      </c>
      <c r="G338" s="83" t="s">
        <v>3179</v>
      </c>
      <c r="H338" s="83" t="s">
        <v>3176</v>
      </c>
      <c r="I338" s="83" t="s">
        <v>3181</v>
      </c>
      <c r="J338" s="83" t="s">
        <v>3184</v>
      </c>
      <c r="K338" s="89" t="s">
        <v>3186</v>
      </c>
    </row>
    <row r="339" spans="2:11" x14ac:dyDescent="0.25">
      <c r="B339" s="88">
        <v>334</v>
      </c>
      <c r="C339" s="83" t="s">
        <v>3531</v>
      </c>
      <c r="D339" s="83" t="s">
        <v>3183</v>
      </c>
      <c r="E339" s="83" t="s">
        <v>3182</v>
      </c>
      <c r="F339" s="83" t="s">
        <v>3177</v>
      </c>
      <c r="G339" s="83" t="s">
        <v>3179</v>
      </c>
      <c r="H339" s="83" t="s">
        <v>3176</v>
      </c>
      <c r="I339" s="83" t="s">
        <v>3181</v>
      </c>
      <c r="J339" s="83" t="s">
        <v>3184</v>
      </c>
      <c r="K339" s="89" t="s">
        <v>3185</v>
      </c>
    </row>
    <row r="340" spans="2:11" x14ac:dyDescent="0.25">
      <c r="B340" s="88">
        <v>335</v>
      </c>
      <c r="C340" s="83" t="s">
        <v>3532</v>
      </c>
      <c r="D340" s="83" t="s">
        <v>3180</v>
      </c>
      <c r="E340" s="83" t="s">
        <v>3185</v>
      </c>
      <c r="F340" s="83" t="s">
        <v>3177</v>
      </c>
      <c r="G340" s="83" t="s">
        <v>3176</v>
      </c>
      <c r="H340" s="83" t="s">
        <v>3184</v>
      </c>
      <c r="I340" s="83" t="s">
        <v>3179</v>
      </c>
      <c r="J340" s="83" t="s">
        <v>3187</v>
      </c>
      <c r="K340" s="89" t="s">
        <v>3186</v>
      </c>
    </row>
    <row r="341" spans="2:11" x14ac:dyDescent="0.25">
      <c r="B341" s="88">
        <v>336</v>
      </c>
      <c r="C341" s="83" t="s">
        <v>3533</v>
      </c>
      <c r="D341" s="83" t="s">
        <v>3180</v>
      </c>
      <c r="E341" s="83" t="s">
        <v>3185</v>
      </c>
      <c r="F341" s="83" t="s">
        <v>3177</v>
      </c>
      <c r="G341" s="83" t="s">
        <v>3179</v>
      </c>
      <c r="H341" s="83" t="s">
        <v>3176</v>
      </c>
      <c r="I341" s="83" t="s">
        <v>3183</v>
      </c>
      <c r="J341" s="83" t="s">
        <v>3187</v>
      </c>
      <c r="K341" s="89" t="s">
        <v>3186</v>
      </c>
    </row>
    <row r="342" spans="2:11" x14ac:dyDescent="0.25">
      <c r="B342" s="88">
        <v>337</v>
      </c>
      <c r="C342" s="83" t="s">
        <v>3534</v>
      </c>
      <c r="D342" s="83" t="s">
        <v>3180</v>
      </c>
      <c r="E342" s="83" t="s">
        <v>3184</v>
      </c>
      <c r="F342" s="83" t="s">
        <v>3177</v>
      </c>
      <c r="G342" s="83" t="s">
        <v>3179</v>
      </c>
      <c r="H342" s="83" t="s">
        <v>3176</v>
      </c>
      <c r="I342" s="83" t="s">
        <v>3183</v>
      </c>
      <c r="J342" s="83" t="s">
        <v>3187</v>
      </c>
      <c r="K342" s="89" t="s">
        <v>3186</v>
      </c>
    </row>
    <row r="343" spans="2:11" x14ac:dyDescent="0.25">
      <c r="B343" s="88">
        <v>338</v>
      </c>
      <c r="C343" s="83" t="s">
        <v>3535</v>
      </c>
      <c r="D343" s="83" t="s">
        <v>3180</v>
      </c>
      <c r="E343" s="83" t="s">
        <v>3185</v>
      </c>
      <c r="F343" s="83" t="s">
        <v>3177</v>
      </c>
      <c r="G343" s="83" t="s">
        <v>3179</v>
      </c>
      <c r="H343" s="83" t="s">
        <v>3176</v>
      </c>
      <c r="I343" s="83" t="s">
        <v>3183</v>
      </c>
      <c r="J343" s="83" t="s">
        <v>3187</v>
      </c>
      <c r="K343" s="89" t="s">
        <v>3184</v>
      </c>
    </row>
    <row r="344" spans="2:11" x14ac:dyDescent="0.25">
      <c r="B344" s="88">
        <v>339</v>
      </c>
      <c r="C344" s="83" t="s">
        <v>3536</v>
      </c>
      <c r="D344" s="83" t="s">
        <v>3180</v>
      </c>
      <c r="E344" s="83" t="s">
        <v>3185</v>
      </c>
      <c r="F344" s="83" t="s">
        <v>3177</v>
      </c>
      <c r="G344" s="83" t="s">
        <v>3179</v>
      </c>
      <c r="H344" s="83" t="s">
        <v>3176</v>
      </c>
      <c r="I344" s="83" t="s">
        <v>3183</v>
      </c>
      <c r="J344" s="83" t="s">
        <v>3184</v>
      </c>
      <c r="K344" s="89" t="s">
        <v>3186</v>
      </c>
    </row>
    <row r="345" spans="2:11" x14ac:dyDescent="0.25">
      <c r="B345" s="88">
        <v>340</v>
      </c>
      <c r="C345" s="83" t="s">
        <v>3537</v>
      </c>
      <c r="D345" s="83" t="s">
        <v>3180</v>
      </c>
      <c r="E345" s="83" t="s">
        <v>3185</v>
      </c>
      <c r="F345" s="83" t="s">
        <v>3177</v>
      </c>
      <c r="G345" s="83" t="s">
        <v>3179</v>
      </c>
      <c r="H345" s="83" t="s">
        <v>3176</v>
      </c>
      <c r="I345" s="83" t="s">
        <v>3182</v>
      </c>
      <c r="J345" s="83" t="s">
        <v>3187</v>
      </c>
      <c r="K345" s="89" t="s">
        <v>3186</v>
      </c>
    </row>
    <row r="346" spans="2:11" x14ac:dyDescent="0.25">
      <c r="B346" s="88">
        <v>341</v>
      </c>
      <c r="C346" s="83" t="s">
        <v>3538</v>
      </c>
      <c r="D346" s="83" t="s">
        <v>3180</v>
      </c>
      <c r="E346" s="83" t="s">
        <v>3182</v>
      </c>
      <c r="F346" s="83" t="s">
        <v>3177</v>
      </c>
      <c r="G346" s="83" t="s">
        <v>3176</v>
      </c>
      <c r="H346" s="83" t="s">
        <v>3184</v>
      </c>
      <c r="I346" s="83" t="s">
        <v>3179</v>
      </c>
      <c r="J346" s="83" t="s">
        <v>3187</v>
      </c>
      <c r="K346" s="89" t="s">
        <v>3186</v>
      </c>
    </row>
    <row r="347" spans="2:11" x14ac:dyDescent="0.25">
      <c r="B347" s="88">
        <v>342</v>
      </c>
      <c r="C347" s="83" t="s">
        <v>3539</v>
      </c>
      <c r="D347" s="83" t="s">
        <v>3180</v>
      </c>
      <c r="E347" s="83" t="s">
        <v>3185</v>
      </c>
      <c r="F347" s="83" t="s">
        <v>3177</v>
      </c>
      <c r="G347" s="83" t="s">
        <v>3179</v>
      </c>
      <c r="H347" s="83" t="s">
        <v>3176</v>
      </c>
      <c r="I347" s="83" t="s">
        <v>3182</v>
      </c>
      <c r="J347" s="83" t="s">
        <v>3187</v>
      </c>
      <c r="K347" s="89" t="s">
        <v>3184</v>
      </c>
    </row>
    <row r="348" spans="2:11" x14ac:dyDescent="0.25">
      <c r="B348" s="88">
        <v>343</v>
      </c>
      <c r="C348" s="83" t="s">
        <v>3540</v>
      </c>
      <c r="D348" s="83" t="s">
        <v>3180</v>
      </c>
      <c r="E348" s="83" t="s">
        <v>3185</v>
      </c>
      <c r="F348" s="83" t="s">
        <v>3177</v>
      </c>
      <c r="G348" s="83" t="s">
        <v>3179</v>
      </c>
      <c r="H348" s="83" t="s">
        <v>3176</v>
      </c>
      <c r="I348" s="83" t="s">
        <v>3182</v>
      </c>
      <c r="J348" s="83" t="s">
        <v>3184</v>
      </c>
      <c r="K348" s="89" t="s">
        <v>3186</v>
      </c>
    </row>
    <row r="349" spans="2:11" x14ac:dyDescent="0.25">
      <c r="B349" s="88">
        <v>344</v>
      </c>
      <c r="C349" s="83" t="s">
        <v>3541</v>
      </c>
      <c r="D349" s="83" t="s">
        <v>3180</v>
      </c>
      <c r="E349" s="83" t="s">
        <v>3182</v>
      </c>
      <c r="F349" s="83" t="s">
        <v>3177</v>
      </c>
      <c r="G349" s="83" t="s">
        <v>3179</v>
      </c>
      <c r="H349" s="83" t="s">
        <v>3176</v>
      </c>
      <c r="I349" s="83" t="s">
        <v>3183</v>
      </c>
      <c r="J349" s="83" t="s">
        <v>3187</v>
      </c>
      <c r="K349" s="89" t="s">
        <v>3186</v>
      </c>
    </row>
    <row r="350" spans="2:11" x14ac:dyDescent="0.25">
      <c r="B350" s="88">
        <v>345</v>
      </c>
      <c r="C350" s="83" t="s">
        <v>3542</v>
      </c>
      <c r="D350" s="83" t="s">
        <v>3183</v>
      </c>
      <c r="E350" s="83" t="s">
        <v>3185</v>
      </c>
      <c r="F350" s="83" t="s">
        <v>3177</v>
      </c>
      <c r="G350" s="83" t="s">
        <v>3179</v>
      </c>
      <c r="H350" s="83" t="s">
        <v>3176</v>
      </c>
      <c r="I350" s="83" t="s">
        <v>3182</v>
      </c>
      <c r="J350" s="83" t="s">
        <v>3187</v>
      </c>
      <c r="K350" s="89" t="s">
        <v>3180</v>
      </c>
    </row>
    <row r="351" spans="2:11" x14ac:dyDescent="0.25">
      <c r="B351" s="88">
        <v>346</v>
      </c>
      <c r="C351" s="83" t="s">
        <v>3543</v>
      </c>
      <c r="D351" s="83" t="s">
        <v>3183</v>
      </c>
      <c r="E351" s="83" t="s">
        <v>3185</v>
      </c>
      <c r="F351" s="83" t="s">
        <v>3177</v>
      </c>
      <c r="G351" s="83" t="s">
        <v>3179</v>
      </c>
      <c r="H351" s="83" t="s">
        <v>3176</v>
      </c>
      <c r="I351" s="83" t="s">
        <v>3182</v>
      </c>
      <c r="J351" s="83" t="s">
        <v>3180</v>
      </c>
      <c r="K351" s="89" t="s">
        <v>3186</v>
      </c>
    </row>
    <row r="352" spans="2:11" x14ac:dyDescent="0.25">
      <c r="B352" s="88">
        <v>347</v>
      </c>
      <c r="C352" s="83" t="s">
        <v>3544</v>
      </c>
      <c r="D352" s="83" t="s">
        <v>3180</v>
      </c>
      <c r="E352" s="83" t="s">
        <v>3182</v>
      </c>
      <c r="F352" s="83" t="s">
        <v>3177</v>
      </c>
      <c r="G352" s="83" t="s">
        <v>3179</v>
      </c>
      <c r="H352" s="83" t="s">
        <v>3176</v>
      </c>
      <c r="I352" s="83" t="s">
        <v>3183</v>
      </c>
      <c r="J352" s="83" t="s">
        <v>3187</v>
      </c>
      <c r="K352" s="89" t="s">
        <v>3184</v>
      </c>
    </row>
    <row r="353" spans="2:11" x14ac:dyDescent="0.25">
      <c r="B353" s="88">
        <v>348</v>
      </c>
      <c r="C353" s="83" t="s">
        <v>3545</v>
      </c>
      <c r="D353" s="83" t="s">
        <v>3180</v>
      </c>
      <c r="E353" s="83" t="s">
        <v>3182</v>
      </c>
      <c r="F353" s="83" t="s">
        <v>3177</v>
      </c>
      <c r="G353" s="83" t="s">
        <v>3179</v>
      </c>
      <c r="H353" s="83" t="s">
        <v>3176</v>
      </c>
      <c r="I353" s="83" t="s">
        <v>3183</v>
      </c>
      <c r="J353" s="83" t="s">
        <v>3184</v>
      </c>
      <c r="K353" s="89" t="s">
        <v>3186</v>
      </c>
    </row>
    <row r="354" spans="2:11" x14ac:dyDescent="0.25">
      <c r="B354" s="88">
        <v>349</v>
      </c>
      <c r="C354" s="83" t="s">
        <v>3546</v>
      </c>
      <c r="D354" s="83" t="s">
        <v>3183</v>
      </c>
      <c r="E354" s="83" t="s">
        <v>3185</v>
      </c>
      <c r="F354" s="83" t="s">
        <v>3177</v>
      </c>
      <c r="G354" s="83" t="s">
        <v>3179</v>
      </c>
      <c r="H354" s="83" t="s">
        <v>3176</v>
      </c>
      <c r="I354" s="83" t="s">
        <v>3182</v>
      </c>
      <c r="J354" s="83" t="s">
        <v>3180</v>
      </c>
      <c r="K354" s="89" t="s">
        <v>3184</v>
      </c>
    </row>
    <row r="355" spans="2:11" x14ac:dyDescent="0.25">
      <c r="B355" s="88">
        <v>350</v>
      </c>
      <c r="C355" s="83" t="s">
        <v>3547</v>
      </c>
      <c r="D355" s="83" t="s">
        <v>3180</v>
      </c>
      <c r="E355" s="83" t="s">
        <v>3185</v>
      </c>
      <c r="F355" s="83" t="s">
        <v>3177</v>
      </c>
      <c r="G355" s="83" t="s">
        <v>3179</v>
      </c>
      <c r="H355" s="83" t="s">
        <v>3176</v>
      </c>
      <c r="I355" s="83" t="s">
        <v>3181</v>
      </c>
      <c r="J355" s="83" t="s">
        <v>3187</v>
      </c>
      <c r="K355" s="89" t="s">
        <v>3186</v>
      </c>
    </row>
    <row r="356" spans="2:11" x14ac:dyDescent="0.25">
      <c r="B356" s="88">
        <v>351</v>
      </c>
      <c r="C356" s="83" t="s">
        <v>3548</v>
      </c>
      <c r="D356" s="83" t="s">
        <v>3180</v>
      </c>
      <c r="E356" s="83" t="s">
        <v>3184</v>
      </c>
      <c r="F356" s="83" t="s">
        <v>3177</v>
      </c>
      <c r="G356" s="83" t="s">
        <v>3179</v>
      </c>
      <c r="H356" s="83" t="s">
        <v>3176</v>
      </c>
      <c r="I356" s="83" t="s">
        <v>3181</v>
      </c>
      <c r="J356" s="83" t="s">
        <v>3187</v>
      </c>
      <c r="K356" s="89" t="s">
        <v>3186</v>
      </c>
    </row>
    <row r="357" spans="2:11" x14ac:dyDescent="0.25">
      <c r="B357" s="88">
        <v>352</v>
      </c>
      <c r="C357" s="83" t="s">
        <v>3549</v>
      </c>
      <c r="D357" s="83" t="s">
        <v>3180</v>
      </c>
      <c r="E357" s="83" t="s">
        <v>3185</v>
      </c>
      <c r="F357" s="83" t="s">
        <v>3177</v>
      </c>
      <c r="G357" s="83" t="s">
        <v>3179</v>
      </c>
      <c r="H357" s="83" t="s">
        <v>3176</v>
      </c>
      <c r="I357" s="83" t="s">
        <v>3181</v>
      </c>
      <c r="J357" s="83" t="s">
        <v>3187</v>
      </c>
      <c r="K357" s="89" t="s">
        <v>3184</v>
      </c>
    </row>
    <row r="358" spans="2:11" x14ac:dyDescent="0.25">
      <c r="B358" s="88">
        <v>353</v>
      </c>
      <c r="C358" s="83" t="s">
        <v>3550</v>
      </c>
      <c r="D358" s="83" t="s">
        <v>3180</v>
      </c>
      <c r="E358" s="83" t="s">
        <v>3185</v>
      </c>
      <c r="F358" s="83" t="s">
        <v>3177</v>
      </c>
      <c r="G358" s="83" t="s">
        <v>3179</v>
      </c>
      <c r="H358" s="83" t="s">
        <v>3176</v>
      </c>
      <c r="I358" s="83" t="s">
        <v>3181</v>
      </c>
      <c r="J358" s="83" t="s">
        <v>3184</v>
      </c>
      <c r="K358" s="89" t="s">
        <v>3186</v>
      </c>
    </row>
    <row r="359" spans="2:11" x14ac:dyDescent="0.25">
      <c r="B359" s="88">
        <v>354</v>
      </c>
      <c r="C359" s="83" t="s">
        <v>3551</v>
      </c>
      <c r="D359" s="83" t="s">
        <v>3183</v>
      </c>
      <c r="E359" s="83" t="s">
        <v>3180</v>
      </c>
      <c r="F359" s="83" t="s">
        <v>3177</v>
      </c>
      <c r="G359" s="83" t="s">
        <v>3179</v>
      </c>
      <c r="H359" s="83" t="s">
        <v>3176</v>
      </c>
      <c r="I359" s="83" t="s">
        <v>3181</v>
      </c>
      <c r="J359" s="83" t="s">
        <v>3187</v>
      </c>
      <c r="K359" s="89" t="s">
        <v>3186</v>
      </c>
    </row>
    <row r="360" spans="2:11" x14ac:dyDescent="0.25">
      <c r="B360" s="88">
        <v>355</v>
      </c>
      <c r="C360" s="83" t="s">
        <v>3552</v>
      </c>
      <c r="D360" s="83" t="s">
        <v>3183</v>
      </c>
      <c r="E360" s="83" t="s">
        <v>3185</v>
      </c>
      <c r="F360" s="83" t="s">
        <v>3177</v>
      </c>
      <c r="G360" s="83" t="s">
        <v>3179</v>
      </c>
      <c r="H360" s="83" t="s">
        <v>3176</v>
      </c>
      <c r="I360" s="83" t="s">
        <v>3181</v>
      </c>
      <c r="J360" s="83" t="s">
        <v>3187</v>
      </c>
      <c r="K360" s="89" t="s">
        <v>3180</v>
      </c>
    </row>
    <row r="361" spans="2:11" x14ac:dyDescent="0.25">
      <c r="B361" s="88">
        <v>356</v>
      </c>
      <c r="C361" s="83" t="s">
        <v>3553</v>
      </c>
      <c r="D361" s="83" t="s">
        <v>3183</v>
      </c>
      <c r="E361" s="83" t="s">
        <v>3185</v>
      </c>
      <c r="F361" s="83" t="s">
        <v>3177</v>
      </c>
      <c r="G361" s="83" t="s">
        <v>3179</v>
      </c>
      <c r="H361" s="83" t="s">
        <v>3176</v>
      </c>
      <c r="I361" s="83" t="s">
        <v>3181</v>
      </c>
      <c r="J361" s="83" t="s">
        <v>3180</v>
      </c>
      <c r="K361" s="89" t="s">
        <v>3186</v>
      </c>
    </row>
    <row r="362" spans="2:11" x14ac:dyDescent="0.25">
      <c r="B362" s="88">
        <v>357</v>
      </c>
      <c r="C362" s="83" t="s">
        <v>3554</v>
      </c>
      <c r="D362" s="83" t="s">
        <v>3183</v>
      </c>
      <c r="E362" s="83" t="s">
        <v>3180</v>
      </c>
      <c r="F362" s="83" t="s">
        <v>3177</v>
      </c>
      <c r="G362" s="83" t="s">
        <v>3179</v>
      </c>
      <c r="H362" s="83" t="s">
        <v>3176</v>
      </c>
      <c r="I362" s="83" t="s">
        <v>3181</v>
      </c>
      <c r="J362" s="83" t="s">
        <v>3187</v>
      </c>
      <c r="K362" s="89" t="s">
        <v>3184</v>
      </c>
    </row>
    <row r="363" spans="2:11" x14ac:dyDescent="0.25">
      <c r="B363" s="88">
        <v>358</v>
      </c>
      <c r="C363" s="83" t="s">
        <v>3555</v>
      </c>
      <c r="D363" s="83" t="s">
        <v>3183</v>
      </c>
      <c r="E363" s="83" t="s">
        <v>3180</v>
      </c>
      <c r="F363" s="83" t="s">
        <v>3177</v>
      </c>
      <c r="G363" s="83" t="s">
        <v>3179</v>
      </c>
      <c r="H363" s="83" t="s">
        <v>3176</v>
      </c>
      <c r="I363" s="83" t="s">
        <v>3181</v>
      </c>
      <c r="J363" s="83" t="s">
        <v>3184</v>
      </c>
      <c r="K363" s="89" t="s">
        <v>3186</v>
      </c>
    </row>
    <row r="364" spans="2:11" x14ac:dyDescent="0.25">
      <c r="B364" s="88">
        <v>359</v>
      </c>
      <c r="C364" s="83" t="s">
        <v>3556</v>
      </c>
      <c r="D364" s="83" t="s">
        <v>3183</v>
      </c>
      <c r="E364" s="83" t="s">
        <v>3185</v>
      </c>
      <c r="F364" s="83" t="s">
        <v>3177</v>
      </c>
      <c r="G364" s="83" t="s">
        <v>3179</v>
      </c>
      <c r="H364" s="83" t="s">
        <v>3176</v>
      </c>
      <c r="I364" s="83" t="s">
        <v>3181</v>
      </c>
      <c r="J364" s="83" t="s">
        <v>3180</v>
      </c>
      <c r="K364" s="89" t="s">
        <v>3184</v>
      </c>
    </row>
    <row r="365" spans="2:11" x14ac:dyDescent="0.25">
      <c r="B365" s="88">
        <v>360</v>
      </c>
      <c r="C365" s="83" t="s">
        <v>3557</v>
      </c>
      <c r="D365" s="83" t="s">
        <v>3180</v>
      </c>
      <c r="E365" s="83" t="s">
        <v>3182</v>
      </c>
      <c r="F365" s="83" t="s">
        <v>3177</v>
      </c>
      <c r="G365" s="83" t="s">
        <v>3179</v>
      </c>
      <c r="H365" s="83" t="s">
        <v>3176</v>
      </c>
      <c r="I365" s="83" t="s">
        <v>3181</v>
      </c>
      <c r="J365" s="83" t="s">
        <v>3187</v>
      </c>
      <c r="K365" s="89" t="s">
        <v>3186</v>
      </c>
    </row>
    <row r="366" spans="2:11" x14ac:dyDescent="0.25">
      <c r="B366" s="88">
        <v>361</v>
      </c>
      <c r="C366" s="83" t="s">
        <v>3558</v>
      </c>
      <c r="D366" s="83" t="s">
        <v>3180</v>
      </c>
      <c r="E366" s="83" t="s">
        <v>3182</v>
      </c>
      <c r="F366" s="83" t="s">
        <v>3177</v>
      </c>
      <c r="G366" s="83" t="s">
        <v>3179</v>
      </c>
      <c r="H366" s="83" t="s">
        <v>3176</v>
      </c>
      <c r="I366" s="83" t="s">
        <v>3181</v>
      </c>
      <c r="J366" s="83" t="s">
        <v>3187</v>
      </c>
      <c r="K366" s="89" t="s">
        <v>3185</v>
      </c>
    </row>
    <row r="367" spans="2:11" x14ac:dyDescent="0.25">
      <c r="B367" s="88">
        <v>362</v>
      </c>
      <c r="C367" s="83" t="s">
        <v>3559</v>
      </c>
      <c r="D367" s="83" t="s">
        <v>3180</v>
      </c>
      <c r="E367" s="83" t="s">
        <v>3182</v>
      </c>
      <c r="F367" s="83" t="s">
        <v>3177</v>
      </c>
      <c r="G367" s="83" t="s">
        <v>3179</v>
      </c>
      <c r="H367" s="83" t="s">
        <v>3176</v>
      </c>
      <c r="I367" s="83" t="s">
        <v>3181</v>
      </c>
      <c r="J367" s="83" t="s">
        <v>3185</v>
      </c>
      <c r="K367" s="89" t="s">
        <v>3186</v>
      </c>
    </row>
    <row r="368" spans="2:11" x14ac:dyDescent="0.25">
      <c r="B368" s="88">
        <v>363</v>
      </c>
      <c r="C368" s="83" t="s">
        <v>3560</v>
      </c>
      <c r="D368" s="83" t="s">
        <v>3180</v>
      </c>
      <c r="E368" s="83" t="s">
        <v>3182</v>
      </c>
      <c r="F368" s="83" t="s">
        <v>3177</v>
      </c>
      <c r="G368" s="83" t="s">
        <v>3179</v>
      </c>
      <c r="H368" s="83" t="s">
        <v>3176</v>
      </c>
      <c r="I368" s="83" t="s">
        <v>3181</v>
      </c>
      <c r="J368" s="83" t="s">
        <v>3187</v>
      </c>
      <c r="K368" s="89" t="s">
        <v>3184</v>
      </c>
    </row>
    <row r="369" spans="2:11" x14ac:dyDescent="0.25">
      <c r="B369" s="88">
        <v>364</v>
      </c>
      <c r="C369" s="83" t="s">
        <v>3561</v>
      </c>
      <c r="D369" s="83" t="s">
        <v>3180</v>
      </c>
      <c r="E369" s="83" t="s">
        <v>3182</v>
      </c>
      <c r="F369" s="83" t="s">
        <v>3177</v>
      </c>
      <c r="G369" s="83" t="s">
        <v>3179</v>
      </c>
      <c r="H369" s="83" t="s">
        <v>3176</v>
      </c>
      <c r="I369" s="83" t="s">
        <v>3181</v>
      </c>
      <c r="J369" s="83" t="s">
        <v>3184</v>
      </c>
      <c r="K369" s="89" t="s">
        <v>3186</v>
      </c>
    </row>
    <row r="370" spans="2:11" x14ac:dyDescent="0.25">
      <c r="B370" s="88">
        <v>365</v>
      </c>
      <c r="C370" s="83" t="s">
        <v>3562</v>
      </c>
      <c r="D370" s="83" t="s">
        <v>3180</v>
      </c>
      <c r="E370" s="83" t="s">
        <v>3182</v>
      </c>
      <c r="F370" s="83" t="s">
        <v>3177</v>
      </c>
      <c r="G370" s="83" t="s">
        <v>3179</v>
      </c>
      <c r="H370" s="83" t="s">
        <v>3176</v>
      </c>
      <c r="I370" s="83" t="s">
        <v>3181</v>
      </c>
      <c r="J370" s="83" t="s">
        <v>3184</v>
      </c>
      <c r="K370" s="89" t="s">
        <v>3185</v>
      </c>
    </row>
    <row r="371" spans="2:11" x14ac:dyDescent="0.25">
      <c r="B371" s="88">
        <v>366</v>
      </c>
      <c r="C371" s="83" t="s">
        <v>3563</v>
      </c>
      <c r="D371" s="83" t="s">
        <v>3183</v>
      </c>
      <c r="E371" s="83" t="s">
        <v>3182</v>
      </c>
      <c r="F371" s="83" t="s">
        <v>3177</v>
      </c>
      <c r="G371" s="83" t="s">
        <v>3179</v>
      </c>
      <c r="H371" s="83" t="s">
        <v>3176</v>
      </c>
      <c r="I371" s="83" t="s">
        <v>3181</v>
      </c>
      <c r="J371" s="83" t="s">
        <v>3187</v>
      </c>
      <c r="K371" s="89" t="s">
        <v>3180</v>
      </c>
    </row>
    <row r="372" spans="2:11" x14ac:dyDescent="0.25">
      <c r="B372" s="88">
        <v>367</v>
      </c>
      <c r="C372" s="83" t="s">
        <v>3564</v>
      </c>
      <c r="D372" s="83" t="s">
        <v>3183</v>
      </c>
      <c r="E372" s="83" t="s">
        <v>3182</v>
      </c>
      <c r="F372" s="83" t="s">
        <v>3177</v>
      </c>
      <c r="G372" s="83" t="s">
        <v>3179</v>
      </c>
      <c r="H372" s="83" t="s">
        <v>3176</v>
      </c>
      <c r="I372" s="83" t="s">
        <v>3181</v>
      </c>
      <c r="J372" s="83" t="s">
        <v>3180</v>
      </c>
      <c r="K372" s="89" t="s">
        <v>3186</v>
      </c>
    </row>
    <row r="373" spans="2:11" x14ac:dyDescent="0.25">
      <c r="B373" s="88">
        <v>368</v>
      </c>
      <c r="C373" s="83" t="s">
        <v>3565</v>
      </c>
      <c r="D373" s="83" t="s">
        <v>3183</v>
      </c>
      <c r="E373" s="83" t="s">
        <v>3182</v>
      </c>
      <c r="F373" s="83" t="s">
        <v>3177</v>
      </c>
      <c r="G373" s="83" t="s">
        <v>3179</v>
      </c>
      <c r="H373" s="83" t="s">
        <v>3176</v>
      </c>
      <c r="I373" s="83" t="s">
        <v>3181</v>
      </c>
      <c r="J373" s="83" t="s">
        <v>3180</v>
      </c>
      <c r="K373" s="89" t="s">
        <v>3185</v>
      </c>
    </row>
    <row r="374" spans="2:11" x14ac:dyDescent="0.25">
      <c r="B374" s="88">
        <v>369</v>
      </c>
      <c r="C374" s="83" t="s">
        <v>3566</v>
      </c>
      <c r="D374" s="83" t="s">
        <v>3183</v>
      </c>
      <c r="E374" s="83" t="s">
        <v>3182</v>
      </c>
      <c r="F374" s="83" t="s">
        <v>3177</v>
      </c>
      <c r="G374" s="83" t="s">
        <v>3179</v>
      </c>
      <c r="H374" s="83" t="s">
        <v>3176</v>
      </c>
      <c r="I374" s="83" t="s">
        <v>3181</v>
      </c>
      <c r="J374" s="83" t="s">
        <v>3180</v>
      </c>
      <c r="K374" s="89" t="s">
        <v>3184</v>
      </c>
    </row>
    <row r="375" spans="2:11" x14ac:dyDescent="0.25">
      <c r="B375" s="88">
        <v>370</v>
      </c>
      <c r="C375" s="83" t="s">
        <v>3567</v>
      </c>
      <c r="D375" s="83" t="s">
        <v>3184</v>
      </c>
      <c r="E375" s="83" t="s">
        <v>3185</v>
      </c>
      <c r="F375" s="83" t="s">
        <v>3177</v>
      </c>
      <c r="G375" s="83" t="s">
        <v>3178</v>
      </c>
      <c r="H375" s="83" t="s">
        <v>3176</v>
      </c>
      <c r="I375" s="83" t="s">
        <v>3183</v>
      </c>
      <c r="J375" s="83" t="s">
        <v>3187</v>
      </c>
      <c r="K375" s="89" t="s">
        <v>3186</v>
      </c>
    </row>
    <row r="376" spans="2:11" x14ac:dyDescent="0.25">
      <c r="B376" s="88">
        <v>371</v>
      </c>
      <c r="C376" s="83" t="s">
        <v>3568</v>
      </c>
      <c r="D376" s="83" t="s">
        <v>3184</v>
      </c>
      <c r="E376" s="83" t="s">
        <v>3185</v>
      </c>
      <c r="F376" s="83" t="s">
        <v>3177</v>
      </c>
      <c r="G376" s="83" t="s">
        <v>3178</v>
      </c>
      <c r="H376" s="83" t="s">
        <v>3176</v>
      </c>
      <c r="I376" s="83" t="s">
        <v>3182</v>
      </c>
      <c r="J376" s="83" t="s">
        <v>3187</v>
      </c>
      <c r="K376" s="89" t="s">
        <v>3186</v>
      </c>
    </row>
    <row r="377" spans="2:11" x14ac:dyDescent="0.25">
      <c r="B377" s="88">
        <v>372</v>
      </c>
      <c r="C377" s="83" t="s">
        <v>3569</v>
      </c>
      <c r="D377" s="83" t="s">
        <v>3183</v>
      </c>
      <c r="E377" s="83" t="s">
        <v>3185</v>
      </c>
      <c r="F377" s="83" t="s">
        <v>3177</v>
      </c>
      <c r="G377" s="83" t="s">
        <v>3178</v>
      </c>
      <c r="H377" s="83" t="s">
        <v>3176</v>
      </c>
      <c r="I377" s="83" t="s">
        <v>3182</v>
      </c>
      <c r="J377" s="83" t="s">
        <v>3187</v>
      </c>
      <c r="K377" s="89" t="s">
        <v>3186</v>
      </c>
    </row>
    <row r="378" spans="2:11" x14ac:dyDescent="0.25">
      <c r="B378" s="88">
        <v>373</v>
      </c>
      <c r="C378" s="83" t="s">
        <v>3570</v>
      </c>
      <c r="D378" s="83" t="s">
        <v>3184</v>
      </c>
      <c r="E378" s="83" t="s">
        <v>3182</v>
      </c>
      <c r="F378" s="83" t="s">
        <v>3177</v>
      </c>
      <c r="G378" s="83" t="s">
        <v>3178</v>
      </c>
      <c r="H378" s="83" t="s">
        <v>3176</v>
      </c>
      <c r="I378" s="83" t="s">
        <v>3183</v>
      </c>
      <c r="J378" s="83" t="s">
        <v>3187</v>
      </c>
      <c r="K378" s="89" t="s">
        <v>3186</v>
      </c>
    </row>
    <row r="379" spans="2:11" x14ac:dyDescent="0.25">
      <c r="B379" s="88">
        <v>374</v>
      </c>
      <c r="C379" s="83" t="s">
        <v>3571</v>
      </c>
      <c r="D379" s="83" t="s">
        <v>3183</v>
      </c>
      <c r="E379" s="83" t="s">
        <v>3185</v>
      </c>
      <c r="F379" s="83" t="s">
        <v>3177</v>
      </c>
      <c r="G379" s="83" t="s">
        <v>3178</v>
      </c>
      <c r="H379" s="83" t="s">
        <v>3176</v>
      </c>
      <c r="I379" s="83" t="s">
        <v>3182</v>
      </c>
      <c r="J379" s="83" t="s">
        <v>3187</v>
      </c>
      <c r="K379" s="89" t="s">
        <v>3184</v>
      </c>
    </row>
    <row r="380" spans="2:11" x14ac:dyDescent="0.25">
      <c r="B380" s="88">
        <v>375</v>
      </c>
      <c r="C380" s="83" t="s">
        <v>3572</v>
      </c>
      <c r="D380" s="83" t="s">
        <v>3183</v>
      </c>
      <c r="E380" s="83" t="s">
        <v>3185</v>
      </c>
      <c r="F380" s="83" t="s">
        <v>3177</v>
      </c>
      <c r="G380" s="83" t="s">
        <v>3178</v>
      </c>
      <c r="H380" s="83" t="s">
        <v>3176</v>
      </c>
      <c r="I380" s="83" t="s">
        <v>3182</v>
      </c>
      <c r="J380" s="83" t="s">
        <v>3184</v>
      </c>
      <c r="K380" s="89" t="s">
        <v>3186</v>
      </c>
    </row>
    <row r="381" spans="2:11" x14ac:dyDescent="0.25">
      <c r="B381" s="88">
        <v>376</v>
      </c>
      <c r="C381" s="83" t="s">
        <v>3573</v>
      </c>
      <c r="D381" s="83" t="s">
        <v>3184</v>
      </c>
      <c r="E381" s="83" t="s">
        <v>3185</v>
      </c>
      <c r="F381" s="83" t="s">
        <v>3177</v>
      </c>
      <c r="G381" s="83" t="s">
        <v>3178</v>
      </c>
      <c r="H381" s="83" t="s">
        <v>3176</v>
      </c>
      <c r="I381" s="83" t="s">
        <v>3181</v>
      </c>
      <c r="J381" s="83" t="s">
        <v>3187</v>
      </c>
      <c r="K381" s="89" t="s">
        <v>3186</v>
      </c>
    </row>
    <row r="382" spans="2:11" x14ac:dyDescent="0.25">
      <c r="B382" s="88">
        <v>377</v>
      </c>
      <c r="C382" s="83" t="s">
        <v>3574</v>
      </c>
      <c r="D382" s="83" t="s">
        <v>3183</v>
      </c>
      <c r="E382" s="83" t="s">
        <v>3185</v>
      </c>
      <c r="F382" s="83" t="s">
        <v>3177</v>
      </c>
      <c r="G382" s="83" t="s">
        <v>3178</v>
      </c>
      <c r="H382" s="83" t="s">
        <v>3176</v>
      </c>
      <c r="I382" s="83" t="s">
        <v>3181</v>
      </c>
      <c r="J382" s="83" t="s">
        <v>3187</v>
      </c>
      <c r="K382" s="89" t="s">
        <v>3186</v>
      </c>
    </row>
    <row r="383" spans="2:11" x14ac:dyDescent="0.25">
      <c r="B383" s="88">
        <v>378</v>
      </c>
      <c r="C383" s="83" t="s">
        <v>3575</v>
      </c>
      <c r="D383" s="83" t="s">
        <v>3183</v>
      </c>
      <c r="E383" s="83" t="s">
        <v>3184</v>
      </c>
      <c r="F383" s="83" t="s">
        <v>3177</v>
      </c>
      <c r="G383" s="83" t="s">
        <v>3178</v>
      </c>
      <c r="H383" s="83" t="s">
        <v>3176</v>
      </c>
      <c r="I383" s="83" t="s">
        <v>3181</v>
      </c>
      <c r="J383" s="83" t="s">
        <v>3187</v>
      </c>
      <c r="K383" s="89" t="s">
        <v>3186</v>
      </c>
    </row>
    <row r="384" spans="2:11" x14ac:dyDescent="0.25">
      <c r="B384" s="88">
        <v>379</v>
      </c>
      <c r="C384" s="83" t="s">
        <v>3576</v>
      </c>
      <c r="D384" s="83" t="s">
        <v>3183</v>
      </c>
      <c r="E384" s="83" t="s">
        <v>3185</v>
      </c>
      <c r="F384" s="83" t="s">
        <v>3177</v>
      </c>
      <c r="G384" s="83" t="s">
        <v>3178</v>
      </c>
      <c r="H384" s="83" t="s">
        <v>3176</v>
      </c>
      <c r="I384" s="83" t="s">
        <v>3181</v>
      </c>
      <c r="J384" s="83" t="s">
        <v>3187</v>
      </c>
      <c r="K384" s="89" t="s">
        <v>3184</v>
      </c>
    </row>
    <row r="385" spans="2:11" x14ac:dyDescent="0.25">
      <c r="B385" s="88">
        <v>380</v>
      </c>
      <c r="C385" s="83" t="s">
        <v>3577</v>
      </c>
      <c r="D385" s="83" t="s">
        <v>3183</v>
      </c>
      <c r="E385" s="83" t="s">
        <v>3185</v>
      </c>
      <c r="F385" s="83" t="s">
        <v>3177</v>
      </c>
      <c r="G385" s="83" t="s">
        <v>3178</v>
      </c>
      <c r="H385" s="83" t="s">
        <v>3176</v>
      </c>
      <c r="I385" s="83" t="s">
        <v>3181</v>
      </c>
      <c r="J385" s="83" t="s">
        <v>3184</v>
      </c>
      <c r="K385" s="89" t="s">
        <v>3186</v>
      </c>
    </row>
    <row r="386" spans="2:11" x14ac:dyDescent="0.25">
      <c r="B386" s="88">
        <v>381</v>
      </c>
      <c r="C386" s="83" t="s">
        <v>3578</v>
      </c>
      <c r="D386" s="83" t="s">
        <v>3178</v>
      </c>
      <c r="E386" s="83" t="s">
        <v>3185</v>
      </c>
      <c r="F386" s="83" t="s">
        <v>3177</v>
      </c>
      <c r="G386" s="83" t="s">
        <v>3181</v>
      </c>
      <c r="H386" s="83" t="s">
        <v>3176</v>
      </c>
      <c r="I386" s="83" t="s">
        <v>3182</v>
      </c>
      <c r="J386" s="83" t="s">
        <v>3187</v>
      </c>
      <c r="K386" s="89" t="s">
        <v>3186</v>
      </c>
    </row>
    <row r="387" spans="2:11" x14ac:dyDescent="0.25">
      <c r="B387" s="88">
        <v>382</v>
      </c>
      <c r="C387" s="83" t="s">
        <v>3579</v>
      </c>
      <c r="D387" s="83" t="s">
        <v>3184</v>
      </c>
      <c r="E387" s="83" t="s">
        <v>3182</v>
      </c>
      <c r="F387" s="83" t="s">
        <v>3177</v>
      </c>
      <c r="G387" s="83" t="s">
        <v>3178</v>
      </c>
      <c r="H387" s="83" t="s">
        <v>3176</v>
      </c>
      <c r="I387" s="83" t="s">
        <v>3181</v>
      </c>
      <c r="J387" s="83" t="s">
        <v>3187</v>
      </c>
      <c r="K387" s="89" t="s">
        <v>3186</v>
      </c>
    </row>
    <row r="388" spans="2:11" x14ac:dyDescent="0.25">
      <c r="B388" s="88">
        <v>383</v>
      </c>
      <c r="C388" s="83" t="s">
        <v>3580</v>
      </c>
      <c r="D388" s="83" t="s">
        <v>3178</v>
      </c>
      <c r="E388" s="83" t="s">
        <v>3185</v>
      </c>
      <c r="F388" s="83" t="s">
        <v>3177</v>
      </c>
      <c r="G388" s="83" t="s">
        <v>3181</v>
      </c>
      <c r="H388" s="83" t="s">
        <v>3176</v>
      </c>
      <c r="I388" s="83" t="s">
        <v>3182</v>
      </c>
      <c r="J388" s="83" t="s">
        <v>3187</v>
      </c>
      <c r="K388" s="89" t="s">
        <v>3184</v>
      </c>
    </row>
    <row r="389" spans="2:11" x14ac:dyDescent="0.25">
      <c r="B389" s="88">
        <v>384</v>
      </c>
      <c r="C389" s="83" t="s">
        <v>3581</v>
      </c>
      <c r="D389" s="83" t="s">
        <v>3178</v>
      </c>
      <c r="E389" s="83" t="s">
        <v>3185</v>
      </c>
      <c r="F389" s="83" t="s">
        <v>3177</v>
      </c>
      <c r="G389" s="83" t="s">
        <v>3181</v>
      </c>
      <c r="H389" s="83" t="s">
        <v>3176</v>
      </c>
      <c r="I389" s="83" t="s">
        <v>3182</v>
      </c>
      <c r="J389" s="83" t="s">
        <v>3184</v>
      </c>
      <c r="K389" s="89" t="s">
        <v>3186</v>
      </c>
    </row>
    <row r="390" spans="2:11" x14ac:dyDescent="0.25">
      <c r="B390" s="88">
        <v>385</v>
      </c>
      <c r="C390" s="83" t="s">
        <v>3582</v>
      </c>
      <c r="D390" s="83" t="s">
        <v>3183</v>
      </c>
      <c r="E390" s="83" t="s">
        <v>3182</v>
      </c>
      <c r="F390" s="83" t="s">
        <v>3177</v>
      </c>
      <c r="G390" s="83" t="s">
        <v>3178</v>
      </c>
      <c r="H390" s="83" t="s">
        <v>3176</v>
      </c>
      <c r="I390" s="83" t="s">
        <v>3181</v>
      </c>
      <c r="J390" s="83" t="s">
        <v>3187</v>
      </c>
      <c r="K390" s="89" t="s">
        <v>3186</v>
      </c>
    </row>
    <row r="391" spans="2:11" x14ac:dyDescent="0.25">
      <c r="B391" s="88">
        <v>386</v>
      </c>
      <c r="C391" s="83" t="s">
        <v>3583</v>
      </c>
      <c r="D391" s="83" t="s">
        <v>3183</v>
      </c>
      <c r="E391" s="83" t="s">
        <v>3182</v>
      </c>
      <c r="F391" s="83" t="s">
        <v>3177</v>
      </c>
      <c r="G391" s="83" t="s">
        <v>3178</v>
      </c>
      <c r="H391" s="83" t="s">
        <v>3176</v>
      </c>
      <c r="I391" s="83" t="s">
        <v>3181</v>
      </c>
      <c r="J391" s="83" t="s">
        <v>3187</v>
      </c>
      <c r="K391" s="89" t="s">
        <v>3185</v>
      </c>
    </row>
    <row r="392" spans="2:11" x14ac:dyDescent="0.25">
      <c r="B392" s="88">
        <v>387</v>
      </c>
      <c r="C392" s="83" t="s">
        <v>3584</v>
      </c>
      <c r="D392" s="83" t="s">
        <v>3183</v>
      </c>
      <c r="E392" s="83" t="s">
        <v>3182</v>
      </c>
      <c r="F392" s="83" t="s">
        <v>3177</v>
      </c>
      <c r="G392" s="83" t="s">
        <v>3178</v>
      </c>
      <c r="H392" s="83" t="s">
        <v>3176</v>
      </c>
      <c r="I392" s="83" t="s">
        <v>3181</v>
      </c>
      <c r="J392" s="83" t="s">
        <v>3185</v>
      </c>
      <c r="K392" s="89" t="s">
        <v>3186</v>
      </c>
    </row>
    <row r="393" spans="2:11" x14ac:dyDescent="0.25">
      <c r="B393" s="88">
        <v>388</v>
      </c>
      <c r="C393" s="83" t="s">
        <v>3585</v>
      </c>
      <c r="D393" s="83" t="s">
        <v>3183</v>
      </c>
      <c r="E393" s="83" t="s">
        <v>3182</v>
      </c>
      <c r="F393" s="83" t="s">
        <v>3177</v>
      </c>
      <c r="G393" s="83" t="s">
        <v>3178</v>
      </c>
      <c r="H393" s="83" t="s">
        <v>3176</v>
      </c>
      <c r="I393" s="83" t="s">
        <v>3181</v>
      </c>
      <c r="J393" s="83" t="s">
        <v>3187</v>
      </c>
      <c r="K393" s="89" t="s">
        <v>3184</v>
      </c>
    </row>
    <row r="394" spans="2:11" x14ac:dyDescent="0.25">
      <c r="B394" s="88">
        <v>389</v>
      </c>
      <c r="C394" s="83" t="s">
        <v>3586</v>
      </c>
      <c r="D394" s="83" t="s">
        <v>3183</v>
      </c>
      <c r="E394" s="83" t="s">
        <v>3182</v>
      </c>
      <c r="F394" s="83" t="s">
        <v>3177</v>
      </c>
      <c r="G394" s="83" t="s">
        <v>3178</v>
      </c>
      <c r="H394" s="83" t="s">
        <v>3176</v>
      </c>
      <c r="I394" s="83" t="s">
        <v>3181</v>
      </c>
      <c r="J394" s="83" t="s">
        <v>3184</v>
      </c>
      <c r="K394" s="89" t="s">
        <v>3186</v>
      </c>
    </row>
    <row r="395" spans="2:11" x14ac:dyDescent="0.25">
      <c r="B395" s="88">
        <v>390</v>
      </c>
      <c r="C395" s="83" t="s">
        <v>3587</v>
      </c>
      <c r="D395" s="83" t="s">
        <v>3183</v>
      </c>
      <c r="E395" s="83" t="s">
        <v>3182</v>
      </c>
      <c r="F395" s="83" t="s">
        <v>3177</v>
      </c>
      <c r="G395" s="83" t="s">
        <v>3178</v>
      </c>
      <c r="H395" s="83" t="s">
        <v>3176</v>
      </c>
      <c r="I395" s="83" t="s">
        <v>3181</v>
      </c>
      <c r="J395" s="83" t="s">
        <v>3184</v>
      </c>
      <c r="K395" s="89" t="s">
        <v>3185</v>
      </c>
    </row>
    <row r="396" spans="2:11" x14ac:dyDescent="0.25">
      <c r="B396" s="88">
        <v>391</v>
      </c>
      <c r="C396" s="83" t="s">
        <v>3588</v>
      </c>
      <c r="D396" s="83" t="s">
        <v>3180</v>
      </c>
      <c r="E396" s="83" t="s">
        <v>3185</v>
      </c>
      <c r="F396" s="83" t="s">
        <v>3177</v>
      </c>
      <c r="G396" s="83" t="s">
        <v>3176</v>
      </c>
      <c r="H396" s="83" t="s">
        <v>3184</v>
      </c>
      <c r="I396" s="83" t="s">
        <v>3178</v>
      </c>
      <c r="J396" s="83" t="s">
        <v>3187</v>
      </c>
      <c r="K396" s="89" t="s">
        <v>3186</v>
      </c>
    </row>
    <row r="397" spans="2:11" x14ac:dyDescent="0.25">
      <c r="B397" s="88">
        <v>392</v>
      </c>
      <c r="C397" s="83" t="s">
        <v>3589</v>
      </c>
      <c r="D397" s="83" t="s">
        <v>3180</v>
      </c>
      <c r="E397" s="83" t="s">
        <v>3185</v>
      </c>
      <c r="F397" s="83" t="s">
        <v>3177</v>
      </c>
      <c r="G397" s="83" t="s">
        <v>3178</v>
      </c>
      <c r="H397" s="83" t="s">
        <v>3176</v>
      </c>
      <c r="I397" s="83" t="s">
        <v>3183</v>
      </c>
      <c r="J397" s="83" t="s">
        <v>3187</v>
      </c>
      <c r="K397" s="89" t="s">
        <v>3186</v>
      </c>
    </row>
    <row r="398" spans="2:11" x14ac:dyDescent="0.25">
      <c r="B398" s="88">
        <v>393</v>
      </c>
      <c r="C398" s="83" t="s">
        <v>3590</v>
      </c>
      <c r="D398" s="83" t="s">
        <v>3180</v>
      </c>
      <c r="E398" s="83" t="s">
        <v>3184</v>
      </c>
      <c r="F398" s="83" t="s">
        <v>3177</v>
      </c>
      <c r="G398" s="83" t="s">
        <v>3178</v>
      </c>
      <c r="H398" s="83" t="s">
        <v>3176</v>
      </c>
      <c r="I398" s="83" t="s">
        <v>3183</v>
      </c>
      <c r="J398" s="83" t="s">
        <v>3187</v>
      </c>
      <c r="K398" s="89" t="s">
        <v>3186</v>
      </c>
    </row>
    <row r="399" spans="2:11" x14ac:dyDescent="0.25">
      <c r="B399" s="88">
        <v>394</v>
      </c>
      <c r="C399" s="83" t="s">
        <v>3591</v>
      </c>
      <c r="D399" s="83" t="s">
        <v>3180</v>
      </c>
      <c r="E399" s="83" t="s">
        <v>3185</v>
      </c>
      <c r="F399" s="83" t="s">
        <v>3177</v>
      </c>
      <c r="G399" s="83" t="s">
        <v>3178</v>
      </c>
      <c r="H399" s="83" t="s">
        <v>3176</v>
      </c>
      <c r="I399" s="83" t="s">
        <v>3183</v>
      </c>
      <c r="J399" s="83" t="s">
        <v>3187</v>
      </c>
      <c r="K399" s="89" t="s">
        <v>3184</v>
      </c>
    </row>
    <row r="400" spans="2:11" x14ac:dyDescent="0.25">
      <c r="B400" s="88">
        <v>395</v>
      </c>
      <c r="C400" s="83" t="s">
        <v>3592</v>
      </c>
      <c r="D400" s="83" t="s">
        <v>3180</v>
      </c>
      <c r="E400" s="83" t="s">
        <v>3185</v>
      </c>
      <c r="F400" s="83" t="s">
        <v>3177</v>
      </c>
      <c r="G400" s="83" t="s">
        <v>3178</v>
      </c>
      <c r="H400" s="83" t="s">
        <v>3176</v>
      </c>
      <c r="I400" s="83" t="s">
        <v>3183</v>
      </c>
      <c r="J400" s="83" t="s">
        <v>3184</v>
      </c>
      <c r="K400" s="89" t="s">
        <v>3186</v>
      </c>
    </row>
    <row r="401" spans="2:11" x14ac:dyDescent="0.25">
      <c r="B401" s="88">
        <v>396</v>
      </c>
      <c r="C401" s="83" t="s">
        <v>3593</v>
      </c>
      <c r="D401" s="83" t="s">
        <v>3180</v>
      </c>
      <c r="E401" s="83" t="s">
        <v>3185</v>
      </c>
      <c r="F401" s="83" t="s">
        <v>3177</v>
      </c>
      <c r="G401" s="83" t="s">
        <v>3178</v>
      </c>
      <c r="H401" s="83" t="s">
        <v>3176</v>
      </c>
      <c r="I401" s="83" t="s">
        <v>3182</v>
      </c>
      <c r="J401" s="83" t="s">
        <v>3187</v>
      </c>
      <c r="K401" s="89" t="s">
        <v>3186</v>
      </c>
    </row>
    <row r="402" spans="2:11" x14ac:dyDescent="0.25">
      <c r="B402" s="88">
        <v>397</v>
      </c>
      <c r="C402" s="83" t="s">
        <v>3594</v>
      </c>
      <c r="D402" s="83" t="s">
        <v>3180</v>
      </c>
      <c r="E402" s="83" t="s">
        <v>3182</v>
      </c>
      <c r="F402" s="83" t="s">
        <v>3177</v>
      </c>
      <c r="G402" s="83" t="s">
        <v>3176</v>
      </c>
      <c r="H402" s="83" t="s">
        <v>3184</v>
      </c>
      <c r="I402" s="83" t="s">
        <v>3178</v>
      </c>
      <c r="J402" s="83" t="s">
        <v>3187</v>
      </c>
      <c r="K402" s="89" t="s">
        <v>3186</v>
      </c>
    </row>
    <row r="403" spans="2:11" x14ac:dyDescent="0.25">
      <c r="B403" s="88">
        <v>398</v>
      </c>
      <c r="C403" s="83" t="s">
        <v>3595</v>
      </c>
      <c r="D403" s="83" t="s">
        <v>3180</v>
      </c>
      <c r="E403" s="83" t="s">
        <v>3185</v>
      </c>
      <c r="F403" s="83" t="s">
        <v>3177</v>
      </c>
      <c r="G403" s="83" t="s">
        <v>3178</v>
      </c>
      <c r="H403" s="83" t="s">
        <v>3176</v>
      </c>
      <c r="I403" s="83" t="s">
        <v>3182</v>
      </c>
      <c r="J403" s="83" t="s">
        <v>3187</v>
      </c>
      <c r="K403" s="89" t="s">
        <v>3184</v>
      </c>
    </row>
    <row r="404" spans="2:11" x14ac:dyDescent="0.25">
      <c r="B404" s="88">
        <v>399</v>
      </c>
      <c r="C404" s="83" t="s">
        <v>3596</v>
      </c>
      <c r="D404" s="83" t="s">
        <v>3180</v>
      </c>
      <c r="E404" s="83" t="s">
        <v>3185</v>
      </c>
      <c r="F404" s="83" t="s">
        <v>3177</v>
      </c>
      <c r="G404" s="83" t="s">
        <v>3178</v>
      </c>
      <c r="H404" s="83" t="s">
        <v>3176</v>
      </c>
      <c r="I404" s="83" t="s">
        <v>3182</v>
      </c>
      <c r="J404" s="83" t="s">
        <v>3184</v>
      </c>
      <c r="K404" s="89" t="s">
        <v>3186</v>
      </c>
    </row>
    <row r="405" spans="2:11" x14ac:dyDescent="0.25">
      <c r="B405" s="88">
        <v>400</v>
      </c>
      <c r="C405" s="83" t="s">
        <v>3597</v>
      </c>
      <c r="D405" s="83" t="s">
        <v>3180</v>
      </c>
      <c r="E405" s="83" t="s">
        <v>3182</v>
      </c>
      <c r="F405" s="83" t="s">
        <v>3177</v>
      </c>
      <c r="G405" s="83" t="s">
        <v>3178</v>
      </c>
      <c r="H405" s="83" t="s">
        <v>3176</v>
      </c>
      <c r="I405" s="83" t="s">
        <v>3183</v>
      </c>
      <c r="J405" s="83" t="s">
        <v>3187</v>
      </c>
      <c r="K405" s="89" t="s">
        <v>3186</v>
      </c>
    </row>
    <row r="406" spans="2:11" x14ac:dyDescent="0.25">
      <c r="B406" s="88">
        <v>401</v>
      </c>
      <c r="C406" s="83" t="s">
        <v>3598</v>
      </c>
      <c r="D406" s="83" t="s">
        <v>3183</v>
      </c>
      <c r="E406" s="83" t="s">
        <v>3185</v>
      </c>
      <c r="F406" s="83" t="s">
        <v>3177</v>
      </c>
      <c r="G406" s="83" t="s">
        <v>3178</v>
      </c>
      <c r="H406" s="83" t="s">
        <v>3176</v>
      </c>
      <c r="I406" s="83" t="s">
        <v>3182</v>
      </c>
      <c r="J406" s="83" t="s">
        <v>3187</v>
      </c>
      <c r="K406" s="89" t="s">
        <v>3180</v>
      </c>
    </row>
    <row r="407" spans="2:11" x14ac:dyDescent="0.25">
      <c r="B407" s="88">
        <v>402</v>
      </c>
      <c r="C407" s="83" t="s">
        <v>3599</v>
      </c>
      <c r="D407" s="83" t="s">
        <v>3183</v>
      </c>
      <c r="E407" s="83" t="s">
        <v>3185</v>
      </c>
      <c r="F407" s="83" t="s">
        <v>3177</v>
      </c>
      <c r="G407" s="83" t="s">
        <v>3178</v>
      </c>
      <c r="H407" s="83" t="s">
        <v>3176</v>
      </c>
      <c r="I407" s="83" t="s">
        <v>3182</v>
      </c>
      <c r="J407" s="83" t="s">
        <v>3180</v>
      </c>
      <c r="K407" s="89" t="s">
        <v>3186</v>
      </c>
    </row>
    <row r="408" spans="2:11" x14ac:dyDescent="0.25">
      <c r="B408" s="88">
        <v>403</v>
      </c>
      <c r="C408" s="83" t="s">
        <v>3600</v>
      </c>
      <c r="D408" s="83" t="s">
        <v>3180</v>
      </c>
      <c r="E408" s="83" t="s">
        <v>3182</v>
      </c>
      <c r="F408" s="83" t="s">
        <v>3177</v>
      </c>
      <c r="G408" s="83" t="s">
        <v>3178</v>
      </c>
      <c r="H408" s="83" t="s">
        <v>3176</v>
      </c>
      <c r="I408" s="83" t="s">
        <v>3183</v>
      </c>
      <c r="J408" s="83" t="s">
        <v>3187</v>
      </c>
      <c r="K408" s="89" t="s">
        <v>3184</v>
      </c>
    </row>
    <row r="409" spans="2:11" x14ac:dyDescent="0.25">
      <c r="B409" s="88">
        <v>404</v>
      </c>
      <c r="C409" s="83" t="s">
        <v>3601</v>
      </c>
      <c r="D409" s="83" t="s">
        <v>3180</v>
      </c>
      <c r="E409" s="83" t="s">
        <v>3182</v>
      </c>
      <c r="F409" s="83" t="s">
        <v>3177</v>
      </c>
      <c r="G409" s="83" t="s">
        <v>3178</v>
      </c>
      <c r="H409" s="83" t="s">
        <v>3176</v>
      </c>
      <c r="I409" s="83" t="s">
        <v>3183</v>
      </c>
      <c r="J409" s="83" t="s">
        <v>3184</v>
      </c>
      <c r="K409" s="89" t="s">
        <v>3186</v>
      </c>
    </row>
    <row r="410" spans="2:11" x14ac:dyDescent="0.25">
      <c r="B410" s="88">
        <v>405</v>
      </c>
      <c r="C410" s="83" t="s">
        <v>3602</v>
      </c>
      <c r="D410" s="83" t="s">
        <v>3183</v>
      </c>
      <c r="E410" s="83" t="s">
        <v>3185</v>
      </c>
      <c r="F410" s="83" t="s">
        <v>3177</v>
      </c>
      <c r="G410" s="83" t="s">
        <v>3178</v>
      </c>
      <c r="H410" s="83" t="s">
        <v>3176</v>
      </c>
      <c r="I410" s="83" t="s">
        <v>3182</v>
      </c>
      <c r="J410" s="83" t="s">
        <v>3180</v>
      </c>
      <c r="K410" s="89" t="s">
        <v>3184</v>
      </c>
    </row>
    <row r="411" spans="2:11" x14ac:dyDescent="0.25">
      <c r="B411" s="88">
        <v>406</v>
      </c>
      <c r="C411" s="83" t="s">
        <v>3603</v>
      </c>
      <c r="D411" s="83" t="s">
        <v>3180</v>
      </c>
      <c r="E411" s="83" t="s">
        <v>3185</v>
      </c>
      <c r="F411" s="83" t="s">
        <v>3177</v>
      </c>
      <c r="G411" s="83" t="s">
        <v>3178</v>
      </c>
      <c r="H411" s="83" t="s">
        <v>3176</v>
      </c>
      <c r="I411" s="83" t="s">
        <v>3181</v>
      </c>
      <c r="J411" s="83" t="s">
        <v>3187</v>
      </c>
      <c r="K411" s="89" t="s">
        <v>3186</v>
      </c>
    </row>
    <row r="412" spans="2:11" x14ac:dyDescent="0.25">
      <c r="B412" s="88">
        <v>407</v>
      </c>
      <c r="C412" s="83" t="s">
        <v>3604</v>
      </c>
      <c r="D412" s="83" t="s">
        <v>3180</v>
      </c>
      <c r="E412" s="83" t="s">
        <v>3184</v>
      </c>
      <c r="F412" s="83" t="s">
        <v>3177</v>
      </c>
      <c r="G412" s="83" t="s">
        <v>3178</v>
      </c>
      <c r="H412" s="83" t="s">
        <v>3176</v>
      </c>
      <c r="I412" s="83" t="s">
        <v>3181</v>
      </c>
      <c r="J412" s="83" t="s">
        <v>3187</v>
      </c>
      <c r="K412" s="89" t="s">
        <v>3186</v>
      </c>
    </row>
    <row r="413" spans="2:11" x14ac:dyDescent="0.25">
      <c r="B413" s="88">
        <v>408</v>
      </c>
      <c r="C413" s="83" t="s">
        <v>3605</v>
      </c>
      <c r="D413" s="83" t="s">
        <v>3180</v>
      </c>
      <c r="E413" s="83" t="s">
        <v>3185</v>
      </c>
      <c r="F413" s="83" t="s">
        <v>3177</v>
      </c>
      <c r="G413" s="83" t="s">
        <v>3178</v>
      </c>
      <c r="H413" s="83" t="s">
        <v>3176</v>
      </c>
      <c r="I413" s="83" t="s">
        <v>3181</v>
      </c>
      <c r="J413" s="83" t="s">
        <v>3187</v>
      </c>
      <c r="K413" s="89" t="s">
        <v>3184</v>
      </c>
    </row>
    <row r="414" spans="2:11" x14ac:dyDescent="0.25">
      <c r="B414" s="88">
        <v>409</v>
      </c>
      <c r="C414" s="83" t="s">
        <v>3606</v>
      </c>
      <c r="D414" s="83" t="s">
        <v>3180</v>
      </c>
      <c r="E414" s="83" t="s">
        <v>3185</v>
      </c>
      <c r="F414" s="83" t="s">
        <v>3177</v>
      </c>
      <c r="G414" s="83" t="s">
        <v>3178</v>
      </c>
      <c r="H414" s="83" t="s">
        <v>3176</v>
      </c>
      <c r="I414" s="83" t="s">
        <v>3181</v>
      </c>
      <c r="J414" s="83" t="s">
        <v>3184</v>
      </c>
      <c r="K414" s="89" t="s">
        <v>3186</v>
      </c>
    </row>
    <row r="415" spans="2:11" x14ac:dyDescent="0.25">
      <c r="B415" s="88">
        <v>410</v>
      </c>
      <c r="C415" s="83" t="s">
        <v>3607</v>
      </c>
      <c r="D415" s="83" t="s">
        <v>3183</v>
      </c>
      <c r="E415" s="83" t="s">
        <v>3180</v>
      </c>
      <c r="F415" s="83" t="s">
        <v>3177</v>
      </c>
      <c r="G415" s="83" t="s">
        <v>3178</v>
      </c>
      <c r="H415" s="83" t="s">
        <v>3176</v>
      </c>
      <c r="I415" s="83" t="s">
        <v>3181</v>
      </c>
      <c r="J415" s="83" t="s">
        <v>3187</v>
      </c>
      <c r="K415" s="89" t="s">
        <v>3186</v>
      </c>
    </row>
    <row r="416" spans="2:11" x14ac:dyDescent="0.25">
      <c r="B416" s="88">
        <v>411</v>
      </c>
      <c r="C416" s="83" t="s">
        <v>3608</v>
      </c>
      <c r="D416" s="83" t="s">
        <v>3183</v>
      </c>
      <c r="E416" s="83" t="s">
        <v>3185</v>
      </c>
      <c r="F416" s="83" t="s">
        <v>3177</v>
      </c>
      <c r="G416" s="83" t="s">
        <v>3178</v>
      </c>
      <c r="H416" s="83" t="s">
        <v>3176</v>
      </c>
      <c r="I416" s="83" t="s">
        <v>3181</v>
      </c>
      <c r="J416" s="83" t="s">
        <v>3187</v>
      </c>
      <c r="K416" s="89" t="s">
        <v>3180</v>
      </c>
    </row>
    <row r="417" spans="2:11" x14ac:dyDescent="0.25">
      <c r="B417" s="88">
        <v>412</v>
      </c>
      <c r="C417" s="83" t="s">
        <v>3609</v>
      </c>
      <c r="D417" s="83" t="s">
        <v>3183</v>
      </c>
      <c r="E417" s="83" t="s">
        <v>3185</v>
      </c>
      <c r="F417" s="83" t="s">
        <v>3177</v>
      </c>
      <c r="G417" s="83" t="s">
        <v>3178</v>
      </c>
      <c r="H417" s="83" t="s">
        <v>3176</v>
      </c>
      <c r="I417" s="83" t="s">
        <v>3181</v>
      </c>
      <c r="J417" s="83" t="s">
        <v>3180</v>
      </c>
      <c r="K417" s="89" t="s">
        <v>3186</v>
      </c>
    </row>
    <row r="418" spans="2:11" x14ac:dyDescent="0.25">
      <c r="B418" s="88">
        <v>413</v>
      </c>
      <c r="C418" s="83" t="s">
        <v>3610</v>
      </c>
      <c r="D418" s="83" t="s">
        <v>3183</v>
      </c>
      <c r="E418" s="83" t="s">
        <v>3180</v>
      </c>
      <c r="F418" s="83" t="s">
        <v>3177</v>
      </c>
      <c r="G418" s="83" t="s">
        <v>3178</v>
      </c>
      <c r="H418" s="83" t="s">
        <v>3176</v>
      </c>
      <c r="I418" s="83" t="s">
        <v>3181</v>
      </c>
      <c r="J418" s="83" t="s">
        <v>3187</v>
      </c>
      <c r="K418" s="89" t="s">
        <v>3184</v>
      </c>
    </row>
    <row r="419" spans="2:11" x14ac:dyDescent="0.25">
      <c r="B419" s="88">
        <v>414</v>
      </c>
      <c r="C419" s="83" t="s">
        <v>3611</v>
      </c>
      <c r="D419" s="83" t="s">
        <v>3183</v>
      </c>
      <c r="E419" s="83" t="s">
        <v>3180</v>
      </c>
      <c r="F419" s="83" t="s">
        <v>3177</v>
      </c>
      <c r="G419" s="83" t="s">
        <v>3178</v>
      </c>
      <c r="H419" s="83" t="s">
        <v>3176</v>
      </c>
      <c r="I419" s="83" t="s">
        <v>3181</v>
      </c>
      <c r="J419" s="83" t="s">
        <v>3184</v>
      </c>
      <c r="K419" s="89" t="s">
        <v>3186</v>
      </c>
    </row>
    <row r="420" spans="2:11" x14ac:dyDescent="0.25">
      <c r="B420" s="88">
        <v>415</v>
      </c>
      <c r="C420" s="83" t="s">
        <v>3612</v>
      </c>
      <c r="D420" s="83" t="s">
        <v>3183</v>
      </c>
      <c r="E420" s="83" t="s">
        <v>3185</v>
      </c>
      <c r="F420" s="83" t="s">
        <v>3177</v>
      </c>
      <c r="G420" s="83" t="s">
        <v>3178</v>
      </c>
      <c r="H420" s="83" t="s">
        <v>3176</v>
      </c>
      <c r="I420" s="83" t="s">
        <v>3181</v>
      </c>
      <c r="J420" s="83" t="s">
        <v>3180</v>
      </c>
      <c r="K420" s="89" t="s">
        <v>3184</v>
      </c>
    </row>
    <row r="421" spans="2:11" x14ac:dyDescent="0.25">
      <c r="B421" s="88">
        <v>416</v>
      </c>
      <c r="C421" s="83" t="s">
        <v>3613</v>
      </c>
      <c r="D421" s="83" t="s">
        <v>3180</v>
      </c>
      <c r="E421" s="83" t="s">
        <v>3182</v>
      </c>
      <c r="F421" s="83" t="s">
        <v>3177</v>
      </c>
      <c r="G421" s="83" t="s">
        <v>3178</v>
      </c>
      <c r="H421" s="83" t="s">
        <v>3176</v>
      </c>
      <c r="I421" s="83" t="s">
        <v>3181</v>
      </c>
      <c r="J421" s="83" t="s">
        <v>3187</v>
      </c>
      <c r="K421" s="89" t="s">
        <v>3186</v>
      </c>
    </row>
    <row r="422" spans="2:11" x14ac:dyDescent="0.25">
      <c r="B422" s="88">
        <v>417</v>
      </c>
      <c r="C422" s="83" t="s">
        <v>3614</v>
      </c>
      <c r="D422" s="83" t="s">
        <v>3180</v>
      </c>
      <c r="E422" s="83" t="s">
        <v>3182</v>
      </c>
      <c r="F422" s="83" t="s">
        <v>3177</v>
      </c>
      <c r="G422" s="83" t="s">
        <v>3178</v>
      </c>
      <c r="H422" s="83" t="s">
        <v>3176</v>
      </c>
      <c r="I422" s="83" t="s">
        <v>3181</v>
      </c>
      <c r="J422" s="83" t="s">
        <v>3187</v>
      </c>
      <c r="K422" s="89" t="s">
        <v>3185</v>
      </c>
    </row>
    <row r="423" spans="2:11" x14ac:dyDescent="0.25">
      <c r="B423" s="88">
        <v>418</v>
      </c>
      <c r="C423" s="83" t="s">
        <v>3615</v>
      </c>
      <c r="D423" s="83" t="s">
        <v>3180</v>
      </c>
      <c r="E423" s="83" t="s">
        <v>3182</v>
      </c>
      <c r="F423" s="83" t="s">
        <v>3177</v>
      </c>
      <c r="G423" s="83" t="s">
        <v>3178</v>
      </c>
      <c r="H423" s="83" t="s">
        <v>3176</v>
      </c>
      <c r="I423" s="83" t="s">
        <v>3181</v>
      </c>
      <c r="J423" s="83" t="s">
        <v>3185</v>
      </c>
      <c r="K423" s="89" t="s">
        <v>3186</v>
      </c>
    </row>
    <row r="424" spans="2:11" x14ac:dyDescent="0.25">
      <c r="B424" s="88">
        <v>419</v>
      </c>
      <c r="C424" s="83" t="s">
        <v>3616</v>
      </c>
      <c r="D424" s="83" t="s">
        <v>3180</v>
      </c>
      <c r="E424" s="83" t="s">
        <v>3182</v>
      </c>
      <c r="F424" s="83" t="s">
        <v>3177</v>
      </c>
      <c r="G424" s="83" t="s">
        <v>3178</v>
      </c>
      <c r="H424" s="83" t="s">
        <v>3176</v>
      </c>
      <c r="I424" s="83" t="s">
        <v>3181</v>
      </c>
      <c r="J424" s="83" t="s">
        <v>3187</v>
      </c>
      <c r="K424" s="89" t="s">
        <v>3184</v>
      </c>
    </row>
    <row r="425" spans="2:11" x14ac:dyDescent="0.25">
      <c r="B425" s="88">
        <v>420</v>
      </c>
      <c r="C425" s="83" t="s">
        <v>3617</v>
      </c>
      <c r="D425" s="83" t="s">
        <v>3180</v>
      </c>
      <c r="E425" s="83" t="s">
        <v>3182</v>
      </c>
      <c r="F425" s="83" t="s">
        <v>3177</v>
      </c>
      <c r="G425" s="83" t="s">
        <v>3178</v>
      </c>
      <c r="H425" s="83" t="s">
        <v>3176</v>
      </c>
      <c r="I425" s="83" t="s">
        <v>3181</v>
      </c>
      <c r="J425" s="83" t="s">
        <v>3184</v>
      </c>
      <c r="K425" s="89" t="s">
        <v>3186</v>
      </c>
    </row>
    <row r="426" spans="2:11" x14ac:dyDescent="0.25">
      <c r="B426" s="88">
        <v>421</v>
      </c>
      <c r="C426" s="83" t="s">
        <v>3618</v>
      </c>
      <c r="D426" s="83" t="s">
        <v>3180</v>
      </c>
      <c r="E426" s="83" t="s">
        <v>3182</v>
      </c>
      <c r="F426" s="83" t="s">
        <v>3177</v>
      </c>
      <c r="G426" s="83" t="s">
        <v>3178</v>
      </c>
      <c r="H426" s="83" t="s">
        <v>3176</v>
      </c>
      <c r="I426" s="83" t="s">
        <v>3181</v>
      </c>
      <c r="J426" s="83" t="s">
        <v>3184</v>
      </c>
      <c r="K426" s="89" t="s">
        <v>3185</v>
      </c>
    </row>
    <row r="427" spans="2:11" x14ac:dyDescent="0.25">
      <c r="B427" s="88">
        <v>422</v>
      </c>
      <c r="C427" s="83" t="s">
        <v>3619</v>
      </c>
      <c r="D427" s="83" t="s">
        <v>3183</v>
      </c>
      <c r="E427" s="83" t="s">
        <v>3182</v>
      </c>
      <c r="F427" s="83" t="s">
        <v>3177</v>
      </c>
      <c r="G427" s="83" t="s">
        <v>3178</v>
      </c>
      <c r="H427" s="83" t="s">
        <v>3176</v>
      </c>
      <c r="I427" s="83" t="s">
        <v>3181</v>
      </c>
      <c r="J427" s="83" t="s">
        <v>3187</v>
      </c>
      <c r="K427" s="89" t="s">
        <v>3180</v>
      </c>
    </row>
    <row r="428" spans="2:11" x14ac:dyDescent="0.25">
      <c r="B428" s="88">
        <v>423</v>
      </c>
      <c r="C428" s="83" t="s">
        <v>3620</v>
      </c>
      <c r="D428" s="83" t="s">
        <v>3183</v>
      </c>
      <c r="E428" s="83" t="s">
        <v>3182</v>
      </c>
      <c r="F428" s="83" t="s">
        <v>3177</v>
      </c>
      <c r="G428" s="83" t="s">
        <v>3178</v>
      </c>
      <c r="H428" s="83" t="s">
        <v>3176</v>
      </c>
      <c r="I428" s="83" t="s">
        <v>3181</v>
      </c>
      <c r="J428" s="83" t="s">
        <v>3180</v>
      </c>
      <c r="K428" s="89" t="s">
        <v>3186</v>
      </c>
    </row>
    <row r="429" spans="2:11" x14ac:dyDescent="0.25">
      <c r="B429" s="88">
        <v>424</v>
      </c>
      <c r="C429" s="83" t="s">
        <v>3621</v>
      </c>
      <c r="D429" s="83" t="s">
        <v>3183</v>
      </c>
      <c r="E429" s="83" t="s">
        <v>3182</v>
      </c>
      <c r="F429" s="83" t="s">
        <v>3177</v>
      </c>
      <c r="G429" s="83" t="s">
        <v>3178</v>
      </c>
      <c r="H429" s="83" t="s">
        <v>3176</v>
      </c>
      <c r="I429" s="83" t="s">
        <v>3181</v>
      </c>
      <c r="J429" s="83" t="s">
        <v>3180</v>
      </c>
      <c r="K429" s="89" t="s">
        <v>3185</v>
      </c>
    </row>
    <row r="430" spans="2:11" x14ac:dyDescent="0.25">
      <c r="B430" s="88">
        <v>425</v>
      </c>
      <c r="C430" s="83" t="s">
        <v>3622</v>
      </c>
      <c r="D430" s="83" t="s">
        <v>3183</v>
      </c>
      <c r="E430" s="83" t="s">
        <v>3182</v>
      </c>
      <c r="F430" s="83" t="s">
        <v>3177</v>
      </c>
      <c r="G430" s="83" t="s">
        <v>3178</v>
      </c>
      <c r="H430" s="83" t="s">
        <v>3176</v>
      </c>
      <c r="I430" s="83" t="s">
        <v>3181</v>
      </c>
      <c r="J430" s="83" t="s">
        <v>3180</v>
      </c>
      <c r="K430" s="89" t="s">
        <v>3184</v>
      </c>
    </row>
    <row r="431" spans="2:11" x14ac:dyDescent="0.25">
      <c r="B431" s="88">
        <v>426</v>
      </c>
      <c r="C431" s="83" t="s">
        <v>3623</v>
      </c>
      <c r="D431" s="83" t="s">
        <v>3184</v>
      </c>
      <c r="E431" s="83" t="s">
        <v>3185</v>
      </c>
      <c r="F431" s="83" t="s">
        <v>3177</v>
      </c>
      <c r="G431" s="83" t="s">
        <v>3178</v>
      </c>
      <c r="H431" s="83" t="s">
        <v>3176</v>
      </c>
      <c r="I431" s="83" t="s">
        <v>3179</v>
      </c>
      <c r="J431" s="83" t="s">
        <v>3187</v>
      </c>
      <c r="K431" s="89" t="s">
        <v>3186</v>
      </c>
    </row>
    <row r="432" spans="2:11" x14ac:dyDescent="0.25">
      <c r="B432" s="88">
        <v>427</v>
      </c>
      <c r="C432" s="83" t="s">
        <v>3624</v>
      </c>
      <c r="D432" s="83" t="s">
        <v>3183</v>
      </c>
      <c r="E432" s="83" t="s">
        <v>3185</v>
      </c>
      <c r="F432" s="83" t="s">
        <v>3177</v>
      </c>
      <c r="G432" s="83" t="s">
        <v>3178</v>
      </c>
      <c r="H432" s="83" t="s">
        <v>3176</v>
      </c>
      <c r="I432" s="83" t="s">
        <v>3179</v>
      </c>
      <c r="J432" s="83" t="s">
        <v>3187</v>
      </c>
      <c r="K432" s="89" t="s">
        <v>3186</v>
      </c>
    </row>
    <row r="433" spans="2:11" x14ac:dyDescent="0.25">
      <c r="B433" s="88">
        <v>428</v>
      </c>
      <c r="C433" s="83" t="s">
        <v>3625</v>
      </c>
      <c r="D433" s="83" t="s">
        <v>3183</v>
      </c>
      <c r="E433" s="83" t="s">
        <v>3184</v>
      </c>
      <c r="F433" s="83" t="s">
        <v>3177</v>
      </c>
      <c r="G433" s="83" t="s">
        <v>3178</v>
      </c>
      <c r="H433" s="83" t="s">
        <v>3176</v>
      </c>
      <c r="I433" s="83" t="s">
        <v>3179</v>
      </c>
      <c r="J433" s="83" t="s">
        <v>3187</v>
      </c>
      <c r="K433" s="89" t="s">
        <v>3186</v>
      </c>
    </row>
    <row r="434" spans="2:11" x14ac:dyDescent="0.25">
      <c r="B434" s="88">
        <v>429</v>
      </c>
      <c r="C434" s="83" t="s">
        <v>3626</v>
      </c>
      <c r="D434" s="83" t="s">
        <v>3183</v>
      </c>
      <c r="E434" s="83" t="s">
        <v>3185</v>
      </c>
      <c r="F434" s="83" t="s">
        <v>3177</v>
      </c>
      <c r="G434" s="83" t="s">
        <v>3178</v>
      </c>
      <c r="H434" s="83" t="s">
        <v>3176</v>
      </c>
      <c r="I434" s="83" t="s">
        <v>3179</v>
      </c>
      <c r="J434" s="83" t="s">
        <v>3187</v>
      </c>
      <c r="K434" s="89" t="s">
        <v>3184</v>
      </c>
    </row>
    <row r="435" spans="2:11" x14ac:dyDescent="0.25">
      <c r="B435" s="88">
        <v>430</v>
      </c>
      <c r="C435" s="83" t="s">
        <v>3627</v>
      </c>
      <c r="D435" s="83" t="s">
        <v>3183</v>
      </c>
      <c r="E435" s="83" t="s">
        <v>3185</v>
      </c>
      <c r="F435" s="83" t="s">
        <v>3177</v>
      </c>
      <c r="G435" s="83" t="s">
        <v>3178</v>
      </c>
      <c r="H435" s="83" t="s">
        <v>3176</v>
      </c>
      <c r="I435" s="83" t="s">
        <v>3179</v>
      </c>
      <c r="J435" s="83" t="s">
        <v>3184</v>
      </c>
      <c r="K435" s="89" t="s">
        <v>3186</v>
      </c>
    </row>
    <row r="436" spans="2:11" x14ac:dyDescent="0.25">
      <c r="B436" s="88">
        <v>431</v>
      </c>
      <c r="C436" s="83" t="s">
        <v>3628</v>
      </c>
      <c r="D436" s="83" t="s">
        <v>3178</v>
      </c>
      <c r="E436" s="83" t="s">
        <v>3185</v>
      </c>
      <c r="F436" s="83" t="s">
        <v>3177</v>
      </c>
      <c r="G436" s="83" t="s">
        <v>3179</v>
      </c>
      <c r="H436" s="83" t="s">
        <v>3176</v>
      </c>
      <c r="I436" s="83" t="s">
        <v>3182</v>
      </c>
      <c r="J436" s="83" t="s">
        <v>3187</v>
      </c>
      <c r="K436" s="89" t="s">
        <v>3186</v>
      </c>
    </row>
    <row r="437" spans="2:11" x14ac:dyDescent="0.25">
      <c r="B437" s="88">
        <v>432</v>
      </c>
      <c r="C437" s="83" t="s">
        <v>3629</v>
      </c>
      <c r="D437" s="83" t="s">
        <v>3184</v>
      </c>
      <c r="E437" s="83" t="s">
        <v>3182</v>
      </c>
      <c r="F437" s="83" t="s">
        <v>3177</v>
      </c>
      <c r="G437" s="83" t="s">
        <v>3178</v>
      </c>
      <c r="H437" s="83" t="s">
        <v>3176</v>
      </c>
      <c r="I437" s="83" t="s">
        <v>3179</v>
      </c>
      <c r="J437" s="83" t="s">
        <v>3187</v>
      </c>
      <c r="K437" s="89" t="s">
        <v>3186</v>
      </c>
    </row>
    <row r="438" spans="2:11" x14ac:dyDescent="0.25">
      <c r="B438" s="88">
        <v>433</v>
      </c>
      <c r="C438" s="83" t="s">
        <v>3630</v>
      </c>
      <c r="D438" s="83" t="s">
        <v>3178</v>
      </c>
      <c r="E438" s="83" t="s">
        <v>3185</v>
      </c>
      <c r="F438" s="83" t="s">
        <v>3177</v>
      </c>
      <c r="G438" s="83" t="s">
        <v>3179</v>
      </c>
      <c r="H438" s="83" t="s">
        <v>3176</v>
      </c>
      <c r="I438" s="83" t="s">
        <v>3182</v>
      </c>
      <c r="J438" s="83" t="s">
        <v>3187</v>
      </c>
      <c r="K438" s="89" t="s">
        <v>3184</v>
      </c>
    </row>
    <row r="439" spans="2:11" x14ac:dyDescent="0.25">
      <c r="B439" s="88">
        <v>434</v>
      </c>
      <c r="C439" s="83" t="s">
        <v>3631</v>
      </c>
      <c r="D439" s="83" t="s">
        <v>3178</v>
      </c>
      <c r="E439" s="83" t="s">
        <v>3185</v>
      </c>
      <c r="F439" s="83" t="s">
        <v>3177</v>
      </c>
      <c r="G439" s="83" t="s">
        <v>3179</v>
      </c>
      <c r="H439" s="83" t="s">
        <v>3176</v>
      </c>
      <c r="I439" s="83" t="s">
        <v>3182</v>
      </c>
      <c r="J439" s="83" t="s">
        <v>3184</v>
      </c>
      <c r="K439" s="89" t="s">
        <v>3186</v>
      </c>
    </row>
    <row r="440" spans="2:11" x14ac:dyDescent="0.25">
      <c r="B440" s="88">
        <v>435</v>
      </c>
      <c r="C440" s="83" t="s">
        <v>3632</v>
      </c>
      <c r="D440" s="83" t="s">
        <v>3183</v>
      </c>
      <c r="E440" s="83" t="s">
        <v>3182</v>
      </c>
      <c r="F440" s="83" t="s">
        <v>3177</v>
      </c>
      <c r="G440" s="83" t="s">
        <v>3178</v>
      </c>
      <c r="H440" s="83" t="s">
        <v>3176</v>
      </c>
      <c r="I440" s="83" t="s">
        <v>3179</v>
      </c>
      <c r="J440" s="83" t="s">
        <v>3187</v>
      </c>
      <c r="K440" s="89" t="s">
        <v>3186</v>
      </c>
    </row>
    <row r="441" spans="2:11" x14ac:dyDescent="0.25">
      <c r="B441" s="88">
        <v>436</v>
      </c>
      <c r="C441" s="83" t="s">
        <v>3633</v>
      </c>
      <c r="D441" s="83" t="s">
        <v>3183</v>
      </c>
      <c r="E441" s="83" t="s">
        <v>3182</v>
      </c>
      <c r="F441" s="83" t="s">
        <v>3177</v>
      </c>
      <c r="G441" s="83" t="s">
        <v>3178</v>
      </c>
      <c r="H441" s="83" t="s">
        <v>3176</v>
      </c>
      <c r="I441" s="83" t="s">
        <v>3179</v>
      </c>
      <c r="J441" s="83" t="s">
        <v>3187</v>
      </c>
      <c r="K441" s="89" t="s">
        <v>3185</v>
      </c>
    </row>
    <row r="442" spans="2:11" x14ac:dyDescent="0.25">
      <c r="B442" s="88">
        <v>437</v>
      </c>
      <c r="C442" s="83" t="s">
        <v>3634</v>
      </c>
      <c r="D442" s="83" t="s">
        <v>3183</v>
      </c>
      <c r="E442" s="83" t="s">
        <v>3182</v>
      </c>
      <c r="F442" s="83" t="s">
        <v>3177</v>
      </c>
      <c r="G442" s="83" t="s">
        <v>3178</v>
      </c>
      <c r="H442" s="83" t="s">
        <v>3176</v>
      </c>
      <c r="I442" s="83" t="s">
        <v>3179</v>
      </c>
      <c r="J442" s="83" t="s">
        <v>3185</v>
      </c>
      <c r="K442" s="89" t="s">
        <v>3186</v>
      </c>
    </row>
    <row r="443" spans="2:11" x14ac:dyDescent="0.25">
      <c r="B443" s="88">
        <v>438</v>
      </c>
      <c r="C443" s="83" t="s">
        <v>3635</v>
      </c>
      <c r="D443" s="83" t="s">
        <v>3183</v>
      </c>
      <c r="E443" s="83" t="s">
        <v>3182</v>
      </c>
      <c r="F443" s="83" t="s">
        <v>3177</v>
      </c>
      <c r="G443" s="83" t="s">
        <v>3178</v>
      </c>
      <c r="H443" s="83" t="s">
        <v>3176</v>
      </c>
      <c r="I443" s="83" t="s">
        <v>3179</v>
      </c>
      <c r="J443" s="83" t="s">
        <v>3187</v>
      </c>
      <c r="K443" s="89" t="s">
        <v>3184</v>
      </c>
    </row>
    <row r="444" spans="2:11" x14ac:dyDescent="0.25">
      <c r="B444" s="88">
        <v>439</v>
      </c>
      <c r="C444" s="83" t="s">
        <v>3636</v>
      </c>
      <c r="D444" s="83" t="s">
        <v>3183</v>
      </c>
      <c r="E444" s="83" t="s">
        <v>3182</v>
      </c>
      <c r="F444" s="83" t="s">
        <v>3177</v>
      </c>
      <c r="G444" s="83" t="s">
        <v>3178</v>
      </c>
      <c r="H444" s="83" t="s">
        <v>3176</v>
      </c>
      <c r="I444" s="83" t="s">
        <v>3179</v>
      </c>
      <c r="J444" s="83" t="s">
        <v>3184</v>
      </c>
      <c r="K444" s="89" t="s">
        <v>3186</v>
      </c>
    </row>
    <row r="445" spans="2:11" x14ac:dyDescent="0.25">
      <c r="B445" s="88">
        <v>440</v>
      </c>
      <c r="C445" s="83" t="s">
        <v>3637</v>
      </c>
      <c r="D445" s="83" t="s">
        <v>3183</v>
      </c>
      <c r="E445" s="83" t="s">
        <v>3182</v>
      </c>
      <c r="F445" s="83" t="s">
        <v>3177</v>
      </c>
      <c r="G445" s="83" t="s">
        <v>3178</v>
      </c>
      <c r="H445" s="83" t="s">
        <v>3176</v>
      </c>
      <c r="I445" s="83" t="s">
        <v>3179</v>
      </c>
      <c r="J445" s="83" t="s">
        <v>3184</v>
      </c>
      <c r="K445" s="89" t="s">
        <v>3185</v>
      </c>
    </row>
    <row r="446" spans="2:11" x14ac:dyDescent="0.25">
      <c r="B446" s="88">
        <v>441</v>
      </c>
      <c r="C446" s="83" t="s">
        <v>3638</v>
      </c>
      <c r="D446" s="83" t="s">
        <v>3178</v>
      </c>
      <c r="E446" s="83" t="s">
        <v>3185</v>
      </c>
      <c r="F446" s="83" t="s">
        <v>3177</v>
      </c>
      <c r="G446" s="83" t="s">
        <v>3179</v>
      </c>
      <c r="H446" s="83" t="s">
        <v>3176</v>
      </c>
      <c r="I446" s="83" t="s">
        <v>3181</v>
      </c>
      <c r="J446" s="83" t="s">
        <v>3187</v>
      </c>
      <c r="K446" s="89" t="s">
        <v>3186</v>
      </c>
    </row>
    <row r="447" spans="2:11" x14ac:dyDescent="0.25">
      <c r="B447" s="88">
        <v>442</v>
      </c>
      <c r="C447" s="83" t="s">
        <v>3639</v>
      </c>
      <c r="D447" s="83" t="s">
        <v>3178</v>
      </c>
      <c r="E447" s="83" t="s">
        <v>3184</v>
      </c>
      <c r="F447" s="83" t="s">
        <v>3177</v>
      </c>
      <c r="G447" s="83" t="s">
        <v>3179</v>
      </c>
      <c r="H447" s="83" t="s">
        <v>3176</v>
      </c>
      <c r="I447" s="83" t="s">
        <v>3181</v>
      </c>
      <c r="J447" s="83" t="s">
        <v>3187</v>
      </c>
      <c r="K447" s="89" t="s">
        <v>3186</v>
      </c>
    </row>
    <row r="448" spans="2:11" x14ac:dyDescent="0.25">
      <c r="B448" s="88">
        <v>443</v>
      </c>
      <c r="C448" s="83" t="s">
        <v>3640</v>
      </c>
      <c r="D448" s="83" t="s">
        <v>3178</v>
      </c>
      <c r="E448" s="83" t="s">
        <v>3185</v>
      </c>
      <c r="F448" s="83" t="s">
        <v>3177</v>
      </c>
      <c r="G448" s="83" t="s">
        <v>3179</v>
      </c>
      <c r="H448" s="83" t="s">
        <v>3176</v>
      </c>
      <c r="I448" s="83" t="s">
        <v>3181</v>
      </c>
      <c r="J448" s="83" t="s">
        <v>3187</v>
      </c>
      <c r="K448" s="89" t="s">
        <v>3184</v>
      </c>
    </row>
    <row r="449" spans="2:11" x14ac:dyDescent="0.25">
      <c r="B449" s="88">
        <v>444</v>
      </c>
      <c r="C449" s="83" t="s">
        <v>3641</v>
      </c>
      <c r="D449" s="83" t="s">
        <v>3178</v>
      </c>
      <c r="E449" s="83" t="s">
        <v>3185</v>
      </c>
      <c r="F449" s="83" t="s">
        <v>3177</v>
      </c>
      <c r="G449" s="83" t="s">
        <v>3179</v>
      </c>
      <c r="H449" s="83" t="s">
        <v>3176</v>
      </c>
      <c r="I449" s="83" t="s">
        <v>3181</v>
      </c>
      <c r="J449" s="83" t="s">
        <v>3184</v>
      </c>
      <c r="K449" s="89" t="s">
        <v>3186</v>
      </c>
    </row>
    <row r="450" spans="2:11" x14ac:dyDescent="0.25">
      <c r="B450" s="88">
        <v>445</v>
      </c>
      <c r="C450" s="83" t="s">
        <v>3642</v>
      </c>
      <c r="D450" s="83" t="s">
        <v>3183</v>
      </c>
      <c r="E450" s="83" t="s">
        <v>3181</v>
      </c>
      <c r="F450" s="83" t="s">
        <v>3177</v>
      </c>
      <c r="G450" s="83" t="s">
        <v>3178</v>
      </c>
      <c r="H450" s="83" t="s">
        <v>3176</v>
      </c>
      <c r="I450" s="83" t="s">
        <v>3179</v>
      </c>
      <c r="J450" s="83" t="s">
        <v>3187</v>
      </c>
      <c r="K450" s="89" t="s">
        <v>3186</v>
      </c>
    </row>
    <row r="451" spans="2:11" x14ac:dyDescent="0.25">
      <c r="B451" s="88">
        <v>446</v>
      </c>
      <c r="C451" s="83" t="s">
        <v>3643</v>
      </c>
      <c r="D451" s="83" t="s">
        <v>3178</v>
      </c>
      <c r="E451" s="83" t="s">
        <v>3185</v>
      </c>
      <c r="F451" s="83" t="s">
        <v>3177</v>
      </c>
      <c r="G451" s="83" t="s">
        <v>3179</v>
      </c>
      <c r="H451" s="83" t="s">
        <v>3176</v>
      </c>
      <c r="I451" s="83" t="s">
        <v>3181</v>
      </c>
      <c r="J451" s="83" t="s">
        <v>3187</v>
      </c>
      <c r="K451" s="89" t="s">
        <v>3183</v>
      </c>
    </row>
    <row r="452" spans="2:11" x14ac:dyDescent="0.25">
      <c r="B452" s="88">
        <v>447</v>
      </c>
      <c r="C452" s="83" t="s">
        <v>3644</v>
      </c>
      <c r="D452" s="83" t="s">
        <v>3183</v>
      </c>
      <c r="E452" s="83" t="s">
        <v>3185</v>
      </c>
      <c r="F452" s="83" t="s">
        <v>3177</v>
      </c>
      <c r="G452" s="83" t="s">
        <v>3178</v>
      </c>
      <c r="H452" s="83" t="s">
        <v>3176</v>
      </c>
      <c r="I452" s="83" t="s">
        <v>3181</v>
      </c>
      <c r="J452" s="83" t="s">
        <v>3179</v>
      </c>
      <c r="K452" s="89" t="s">
        <v>3186</v>
      </c>
    </row>
    <row r="453" spans="2:11" x14ac:dyDescent="0.25">
      <c r="B453" s="88">
        <v>448</v>
      </c>
      <c r="C453" s="83" t="s">
        <v>3645</v>
      </c>
      <c r="D453" s="83" t="s">
        <v>3183</v>
      </c>
      <c r="E453" s="83" t="s">
        <v>3181</v>
      </c>
      <c r="F453" s="83" t="s">
        <v>3177</v>
      </c>
      <c r="G453" s="83" t="s">
        <v>3178</v>
      </c>
      <c r="H453" s="83" t="s">
        <v>3176</v>
      </c>
      <c r="I453" s="83" t="s">
        <v>3179</v>
      </c>
      <c r="J453" s="83" t="s">
        <v>3187</v>
      </c>
      <c r="K453" s="89" t="s">
        <v>3184</v>
      </c>
    </row>
    <row r="454" spans="2:11" x14ac:dyDescent="0.25">
      <c r="B454" s="88">
        <v>449</v>
      </c>
      <c r="C454" s="83" t="s">
        <v>3646</v>
      </c>
      <c r="D454" s="83" t="s">
        <v>3183</v>
      </c>
      <c r="E454" s="83" t="s">
        <v>3181</v>
      </c>
      <c r="F454" s="83" t="s">
        <v>3177</v>
      </c>
      <c r="G454" s="83" t="s">
        <v>3178</v>
      </c>
      <c r="H454" s="83" t="s">
        <v>3176</v>
      </c>
      <c r="I454" s="83" t="s">
        <v>3179</v>
      </c>
      <c r="J454" s="83" t="s">
        <v>3184</v>
      </c>
      <c r="K454" s="89" t="s">
        <v>3186</v>
      </c>
    </row>
    <row r="455" spans="2:11" x14ac:dyDescent="0.25">
      <c r="B455" s="88">
        <v>450</v>
      </c>
      <c r="C455" s="83" t="s">
        <v>3647</v>
      </c>
      <c r="D455" s="83" t="s">
        <v>3183</v>
      </c>
      <c r="E455" s="83" t="s">
        <v>3185</v>
      </c>
      <c r="F455" s="83" t="s">
        <v>3177</v>
      </c>
      <c r="G455" s="83" t="s">
        <v>3178</v>
      </c>
      <c r="H455" s="83" t="s">
        <v>3176</v>
      </c>
      <c r="I455" s="83" t="s">
        <v>3181</v>
      </c>
      <c r="J455" s="83" t="s">
        <v>3179</v>
      </c>
      <c r="K455" s="89" t="s">
        <v>3184</v>
      </c>
    </row>
    <row r="456" spans="2:11" x14ac:dyDescent="0.25">
      <c r="B456" s="88">
        <v>451</v>
      </c>
      <c r="C456" s="83" t="s">
        <v>3648</v>
      </c>
      <c r="D456" s="83" t="s">
        <v>3178</v>
      </c>
      <c r="E456" s="83" t="s">
        <v>3182</v>
      </c>
      <c r="F456" s="83" t="s">
        <v>3177</v>
      </c>
      <c r="G456" s="83" t="s">
        <v>3179</v>
      </c>
      <c r="H456" s="83" t="s">
        <v>3176</v>
      </c>
      <c r="I456" s="83" t="s">
        <v>3181</v>
      </c>
      <c r="J456" s="83" t="s">
        <v>3187</v>
      </c>
      <c r="K456" s="89" t="s">
        <v>3186</v>
      </c>
    </row>
    <row r="457" spans="2:11" x14ac:dyDescent="0.25">
      <c r="B457" s="88">
        <v>452</v>
      </c>
      <c r="C457" s="83" t="s">
        <v>3649</v>
      </c>
      <c r="D457" s="83" t="s">
        <v>3178</v>
      </c>
      <c r="E457" s="83" t="s">
        <v>3182</v>
      </c>
      <c r="F457" s="83" t="s">
        <v>3177</v>
      </c>
      <c r="G457" s="83" t="s">
        <v>3179</v>
      </c>
      <c r="H457" s="83" t="s">
        <v>3176</v>
      </c>
      <c r="I457" s="83" t="s">
        <v>3181</v>
      </c>
      <c r="J457" s="83" t="s">
        <v>3187</v>
      </c>
      <c r="K457" s="89" t="s">
        <v>3185</v>
      </c>
    </row>
    <row r="458" spans="2:11" x14ac:dyDescent="0.25">
      <c r="B458" s="88">
        <v>453</v>
      </c>
      <c r="C458" s="83" t="s">
        <v>3650</v>
      </c>
      <c r="D458" s="83" t="s">
        <v>3178</v>
      </c>
      <c r="E458" s="83" t="s">
        <v>3182</v>
      </c>
      <c r="F458" s="83" t="s">
        <v>3177</v>
      </c>
      <c r="G458" s="83" t="s">
        <v>3179</v>
      </c>
      <c r="H458" s="83" t="s">
        <v>3176</v>
      </c>
      <c r="I458" s="83" t="s">
        <v>3181</v>
      </c>
      <c r="J458" s="83" t="s">
        <v>3185</v>
      </c>
      <c r="K458" s="89" t="s">
        <v>3186</v>
      </c>
    </row>
    <row r="459" spans="2:11" x14ac:dyDescent="0.25">
      <c r="B459" s="88">
        <v>454</v>
      </c>
      <c r="C459" s="83" t="s">
        <v>3651</v>
      </c>
      <c r="D459" s="83" t="s">
        <v>3178</v>
      </c>
      <c r="E459" s="83" t="s">
        <v>3182</v>
      </c>
      <c r="F459" s="83" t="s">
        <v>3177</v>
      </c>
      <c r="G459" s="83" t="s">
        <v>3179</v>
      </c>
      <c r="H459" s="83" t="s">
        <v>3176</v>
      </c>
      <c r="I459" s="83" t="s">
        <v>3181</v>
      </c>
      <c r="J459" s="83" t="s">
        <v>3187</v>
      </c>
      <c r="K459" s="89" t="s">
        <v>3184</v>
      </c>
    </row>
    <row r="460" spans="2:11" x14ac:dyDescent="0.25">
      <c r="B460" s="88">
        <v>455</v>
      </c>
      <c r="C460" s="83" t="s">
        <v>3652</v>
      </c>
      <c r="D460" s="83" t="s">
        <v>3178</v>
      </c>
      <c r="E460" s="83" t="s">
        <v>3182</v>
      </c>
      <c r="F460" s="83" t="s">
        <v>3177</v>
      </c>
      <c r="G460" s="83" t="s">
        <v>3179</v>
      </c>
      <c r="H460" s="83" t="s">
        <v>3176</v>
      </c>
      <c r="I460" s="83" t="s">
        <v>3181</v>
      </c>
      <c r="J460" s="83" t="s">
        <v>3184</v>
      </c>
      <c r="K460" s="89" t="s">
        <v>3186</v>
      </c>
    </row>
    <row r="461" spans="2:11" x14ac:dyDescent="0.25">
      <c r="B461" s="88">
        <v>456</v>
      </c>
      <c r="C461" s="83" t="s">
        <v>3653</v>
      </c>
      <c r="D461" s="83" t="s">
        <v>3178</v>
      </c>
      <c r="E461" s="83" t="s">
        <v>3182</v>
      </c>
      <c r="F461" s="83" t="s">
        <v>3177</v>
      </c>
      <c r="G461" s="83" t="s">
        <v>3179</v>
      </c>
      <c r="H461" s="83" t="s">
        <v>3176</v>
      </c>
      <c r="I461" s="83" t="s">
        <v>3181</v>
      </c>
      <c r="J461" s="83" t="s">
        <v>3184</v>
      </c>
      <c r="K461" s="89" t="s">
        <v>3185</v>
      </c>
    </row>
    <row r="462" spans="2:11" x14ac:dyDescent="0.25">
      <c r="B462" s="88">
        <v>457</v>
      </c>
      <c r="C462" s="83" t="s">
        <v>3654</v>
      </c>
      <c r="D462" s="83" t="s">
        <v>3178</v>
      </c>
      <c r="E462" s="83" t="s">
        <v>3182</v>
      </c>
      <c r="F462" s="83" t="s">
        <v>3177</v>
      </c>
      <c r="G462" s="83" t="s">
        <v>3179</v>
      </c>
      <c r="H462" s="83" t="s">
        <v>3176</v>
      </c>
      <c r="I462" s="83" t="s">
        <v>3181</v>
      </c>
      <c r="J462" s="83" t="s">
        <v>3187</v>
      </c>
      <c r="K462" s="89" t="s">
        <v>3183</v>
      </c>
    </row>
    <row r="463" spans="2:11" x14ac:dyDescent="0.25">
      <c r="B463" s="88">
        <v>458</v>
      </c>
      <c r="C463" s="83" t="s">
        <v>3655</v>
      </c>
      <c r="D463" s="83" t="s">
        <v>3183</v>
      </c>
      <c r="E463" s="83" t="s">
        <v>3182</v>
      </c>
      <c r="F463" s="83" t="s">
        <v>3177</v>
      </c>
      <c r="G463" s="83" t="s">
        <v>3178</v>
      </c>
      <c r="H463" s="83" t="s">
        <v>3176</v>
      </c>
      <c r="I463" s="83" t="s">
        <v>3181</v>
      </c>
      <c r="J463" s="83" t="s">
        <v>3179</v>
      </c>
      <c r="K463" s="89" t="s">
        <v>3186</v>
      </c>
    </row>
    <row r="464" spans="2:11" x14ac:dyDescent="0.25">
      <c r="B464" s="88">
        <v>459</v>
      </c>
      <c r="C464" s="83" t="s">
        <v>3656</v>
      </c>
      <c r="D464" s="83" t="s">
        <v>3183</v>
      </c>
      <c r="E464" s="83" t="s">
        <v>3182</v>
      </c>
      <c r="F464" s="83" t="s">
        <v>3177</v>
      </c>
      <c r="G464" s="83" t="s">
        <v>3178</v>
      </c>
      <c r="H464" s="83" t="s">
        <v>3176</v>
      </c>
      <c r="I464" s="83" t="s">
        <v>3181</v>
      </c>
      <c r="J464" s="83" t="s">
        <v>3179</v>
      </c>
      <c r="K464" s="89" t="s">
        <v>3185</v>
      </c>
    </row>
    <row r="465" spans="2:11" x14ac:dyDescent="0.25">
      <c r="B465" s="88">
        <v>460</v>
      </c>
      <c r="C465" s="83" t="s">
        <v>3657</v>
      </c>
      <c r="D465" s="83" t="s">
        <v>3183</v>
      </c>
      <c r="E465" s="83" t="s">
        <v>3182</v>
      </c>
      <c r="F465" s="83" t="s">
        <v>3177</v>
      </c>
      <c r="G465" s="83" t="s">
        <v>3178</v>
      </c>
      <c r="H465" s="83" t="s">
        <v>3176</v>
      </c>
      <c r="I465" s="83" t="s">
        <v>3181</v>
      </c>
      <c r="J465" s="83" t="s">
        <v>3179</v>
      </c>
      <c r="K465" s="89" t="s">
        <v>3184</v>
      </c>
    </row>
    <row r="466" spans="2:11" x14ac:dyDescent="0.25">
      <c r="B466" s="88">
        <v>461</v>
      </c>
      <c r="C466" s="83" t="s">
        <v>3658</v>
      </c>
      <c r="D466" s="83" t="s">
        <v>3180</v>
      </c>
      <c r="E466" s="83" t="s">
        <v>3185</v>
      </c>
      <c r="F466" s="83" t="s">
        <v>3177</v>
      </c>
      <c r="G466" s="83" t="s">
        <v>3178</v>
      </c>
      <c r="H466" s="83" t="s">
        <v>3176</v>
      </c>
      <c r="I466" s="83" t="s">
        <v>3179</v>
      </c>
      <c r="J466" s="83" t="s">
        <v>3187</v>
      </c>
      <c r="K466" s="89" t="s">
        <v>3186</v>
      </c>
    </row>
    <row r="467" spans="2:11" x14ac:dyDescent="0.25">
      <c r="B467" s="88">
        <v>462</v>
      </c>
      <c r="C467" s="83" t="s">
        <v>3659</v>
      </c>
      <c r="D467" s="83" t="s">
        <v>3180</v>
      </c>
      <c r="E467" s="83" t="s">
        <v>3184</v>
      </c>
      <c r="F467" s="83" t="s">
        <v>3177</v>
      </c>
      <c r="G467" s="83" t="s">
        <v>3178</v>
      </c>
      <c r="H467" s="83" t="s">
        <v>3176</v>
      </c>
      <c r="I467" s="83" t="s">
        <v>3179</v>
      </c>
      <c r="J467" s="83" t="s">
        <v>3187</v>
      </c>
      <c r="K467" s="89" t="s">
        <v>3186</v>
      </c>
    </row>
    <row r="468" spans="2:11" x14ac:dyDescent="0.25">
      <c r="B468" s="88">
        <v>463</v>
      </c>
      <c r="C468" s="83" t="s">
        <v>3660</v>
      </c>
      <c r="D468" s="83" t="s">
        <v>3180</v>
      </c>
      <c r="E468" s="83" t="s">
        <v>3185</v>
      </c>
      <c r="F468" s="83" t="s">
        <v>3177</v>
      </c>
      <c r="G468" s="83" t="s">
        <v>3178</v>
      </c>
      <c r="H468" s="83" t="s">
        <v>3176</v>
      </c>
      <c r="I468" s="83" t="s">
        <v>3179</v>
      </c>
      <c r="J468" s="83" t="s">
        <v>3187</v>
      </c>
      <c r="K468" s="89" t="s">
        <v>3184</v>
      </c>
    </row>
    <row r="469" spans="2:11" x14ac:dyDescent="0.25">
      <c r="B469" s="88">
        <v>464</v>
      </c>
      <c r="C469" s="83" t="s">
        <v>3661</v>
      </c>
      <c r="D469" s="83" t="s">
        <v>3180</v>
      </c>
      <c r="E469" s="83" t="s">
        <v>3185</v>
      </c>
      <c r="F469" s="83" t="s">
        <v>3177</v>
      </c>
      <c r="G469" s="83" t="s">
        <v>3178</v>
      </c>
      <c r="H469" s="83" t="s">
        <v>3176</v>
      </c>
      <c r="I469" s="83" t="s">
        <v>3179</v>
      </c>
      <c r="J469" s="83" t="s">
        <v>3184</v>
      </c>
      <c r="K469" s="89" t="s">
        <v>3186</v>
      </c>
    </row>
    <row r="470" spans="2:11" x14ac:dyDescent="0.25">
      <c r="B470" s="88">
        <v>465</v>
      </c>
      <c r="C470" s="83" t="s">
        <v>3662</v>
      </c>
      <c r="D470" s="83" t="s">
        <v>3183</v>
      </c>
      <c r="E470" s="83" t="s">
        <v>3180</v>
      </c>
      <c r="F470" s="83" t="s">
        <v>3177</v>
      </c>
      <c r="G470" s="83" t="s">
        <v>3178</v>
      </c>
      <c r="H470" s="83" t="s">
        <v>3176</v>
      </c>
      <c r="I470" s="83" t="s">
        <v>3179</v>
      </c>
      <c r="J470" s="83" t="s">
        <v>3187</v>
      </c>
      <c r="K470" s="89" t="s">
        <v>3186</v>
      </c>
    </row>
    <row r="471" spans="2:11" x14ac:dyDescent="0.25">
      <c r="B471" s="88">
        <v>466</v>
      </c>
      <c r="C471" s="83" t="s">
        <v>3663</v>
      </c>
      <c r="D471" s="83" t="s">
        <v>3183</v>
      </c>
      <c r="E471" s="83" t="s">
        <v>3185</v>
      </c>
      <c r="F471" s="83" t="s">
        <v>3177</v>
      </c>
      <c r="G471" s="83" t="s">
        <v>3178</v>
      </c>
      <c r="H471" s="83" t="s">
        <v>3176</v>
      </c>
      <c r="I471" s="83" t="s">
        <v>3179</v>
      </c>
      <c r="J471" s="83" t="s">
        <v>3187</v>
      </c>
      <c r="K471" s="89" t="s">
        <v>3180</v>
      </c>
    </row>
    <row r="472" spans="2:11" x14ac:dyDescent="0.25">
      <c r="B472" s="88">
        <v>467</v>
      </c>
      <c r="C472" s="83" t="s">
        <v>3664</v>
      </c>
      <c r="D472" s="83" t="s">
        <v>3183</v>
      </c>
      <c r="E472" s="83" t="s">
        <v>3185</v>
      </c>
      <c r="F472" s="83" t="s">
        <v>3177</v>
      </c>
      <c r="G472" s="83" t="s">
        <v>3178</v>
      </c>
      <c r="H472" s="83" t="s">
        <v>3176</v>
      </c>
      <c r="I472" s="83" t="s">
        <v>3179</v>
      </c>
      <c r="J472" s="83" t="s">
        <v>3180</v>
      </c>
      <c r="K472" s="89" t="s">
        <v>3186</v>
      </c>
    </row>
    <row r="473" spans="2:11" x14ac:dyDescent="0.25">
      <c r="B473" s="88">
        <v>468</v>
      </c>
      <c r="C473" s="83" t="s">
        <v>3665</v>
      </c>
      <c r="D473" s="83" t="s">
        <v>3183</v>
      </c>
      <c r="E473" s="83" t="s">
        <v>3180</v>
      </c>
      <c r="F473" s="83" t="s">
        <v>3177</v>
      </c>
      <c r="G473" s="83" t="s">
        <v>3178</v>
      </c>
      <c r="H473" s="83" t="s">
        <v>3176</v>
      </c>
      <c r="I473" s="83" t="s">
        <v>3179</v>
      </c>
      <c r="J473" s="83" t="s">
        <v>3187</v>
      </c>
      <c r="K473" s="89" t="s">
        <v>3184</v>
      </c>
    </row>
    <row r="474" spans="2:11" x14ac:dyDescent="0.25">
      <c r="B474" s="88">
        <v>469</v>
      </c>
      <c r="C474" s="83" t="s">
        <v>3666</v>
      </c>
      <c r="D474" s="83" t="s">
        <v>3183</v>
      </c>
      <c r="E474" s="83" t="s">
        <v>3180</v>
      </c>
      <c r="F474" s="83" t="s">
        <v>3177</v>
      </c>
      <c r="G474" s="83" t="s">
        <v>3178</v>
      </c>
      <c r="H474" s="83" t="s">
        <v>3176</v>
      </c>
      <c r="I474" s="83" t="s">
        <v>3179</v>
      </c>
      <c r="J474" s="83" t="s">
        <v>3184</v>
      </c>
      <c r="K474" s="89" t="s">
        <v>3186</v>
      </c>
    </row>
    <row r="475" spans="2:11" x14ac:dyDescent="0.25">
      <c r="B475" s="88">
        <v>470</v>
      </c>
      <c r="C475" s="83" t="s">
        <v>3667</v>
      </c>
      <c r="D475" s="83" t="s">
        <v>3183</v>
      </c>
      <c r="E475" s="83" t="s">
        <v>3185</v>
      </c>
      <c r="F475" s="83" t="s">
        <v>3177</v>
      </c>
      <c r="G475" s="83" t="s">
        <v>3178</v>
      </c>
      <c r="H475" s="83" t="s">
        <v>3176</v>
      </c>
      <c r="I475" s="83" t="s">
        <v>3179</v>
      </c>
      <c r="J475" s="83" t="s">
        <v>3180</v>
      </c>
      <c r="K475" s="89" t="s">
        <v>3184</v>
      </c>
    </row>
    <row r="476" spans="2:11" x14ac:dyDescent="0.25">
      <c r="B476" s="88">
        <v>471</v>
      </c>
      <c r="C476" s="83" t="s">
        <v>3668</v>
      </c>
      <c r="D476" s="83" t="s">
        <v>3180</v>
      </c>
      <c r="E476" s="83" t="s">
        <v>3182</v>
      </c>
      <c r="F476" s="83" t="s">
        <v>3177</v>
      </c>
      <c r="G476" s="83" t="s">
        <v>3178</v>
      </c>
      <c r="H476" s="83" t="s">
        <v>3176</v>
      </c>
      <c r="I476" s="83" t="s">
        <v>3179</v>
      </c>
      <c r="J476" s="83" t="s">
        <v>3187</v>
      </c>
      <c r="K476" s="89" t="s">
        <v>3186</v>
      </c>
    </row>
    <row r="477" spans="2:11" x14ac:dyDescent="0.25">
      <c r="B477" s="88">
        <v>472</v>
      </c>
      <c r="C477" s="83" t="s">
        <v>3669</v>
      </c>
      <c r="D477" s="83" t="s">
        <v>3180</v>
      </c>
      <c r="E477" s="83" t="s">
        <v>3182</v>
      </c>
      <c r="F477" s="83" t="s">
        <v>3177</v>
      </c>
      <c r="G477" s="83" t="s">
        <v>3178</v>
      </c>
      <c r="H477" s="83" t="s">
        <v>3176</v>
      </c>
      <c r="I477" s="83" t="s">
        <v>3179</v>
      </c>
      <c r="J477" s="83" t="s">
        <v>3187</v>
      </c>
      <c r="K477" s="89" t="s">
        <v>3185</v>
      </c>
    </row>
    <row r="478" spans="2:11" x14ac:dyDescent="0.25">
      <c r="B478" s="88">
        <v>473</v>
      </c>
      <c r="C478" s="83" t="s">
        <v>3670</v>
      </c>
      <c r="D478" s="83" t="s">
        <v>3180</v>
      </c>
      <c r="E478" s="83" t="s">
        <v>3182</v>
      </c>
      <c r="F478" s="83" t="s">
        <v>3177</v>
      </c>
      <c r="G478" s="83" t="s">
        <v>3178</v>
      </c>
      <c r="H478" s="83" t="s">
        <v>3176</v>
      </c>
      <c r="I478" s="83" t="s">
        <v>3179</v>
      </c>
      <c r="J478" s="83" t="s">
        <v>3185</v>
      </c>
      <c r="K478" s="89" t="s">
        <v>3186</v>
      </c>
    </row>
    <row r="479" spans="2:11" x14ac:dyDescent="0.25">
      <c r="B479" s="88">
        <v>474</v>
      </c>
      <c r="C479" s="83" t="s">
        <v>3671</v>
      </c>
      <c r="D479" s="83" t="s">
        <v>3180</v>
      </c>
      <c r="E479" s="83" t="s">
        <v>3182</v>
      </c>
      <c r="F479" s="83" t="s">
        <v>3177</v>
      </c>
      <c r="G479" s="83" t="s">
        <v>3178</v>
      </c>
      <c r="H479" s="83" t="s">
        <v>3176</v>
      </c>
      <c r="I479" s="83" t="s">
        <v>3179</v>
      </c>
      <c r="J479" s="83" t="s">
        <v>3187</v>
      </c>
      <c r="K479" s="89" t="s">
        <v>3184</v>
      </c>
    </row>
    <row r="480" spans="2:11" x14ac:dyDescent="0.25">
      <c r="B480" s="88">
        <v>475</v>
      </c>
      <c r="C480" s="83" t="s">
        <v>3672</v>
      </c>
      <c r="D480" s="83" t="s">
        <v>3180</v>
      </c>
      <c r="E480" s="83" t="s">
        <v>3182</v>
      </c>
      <c r="F480" s="83" t="s">
        <v>3177</v>
      </c>
      <c r="G480" s="83" t="s">
        <v>3178</v>
      </c>
      <c r="H480" s="83" t="s">
        <v>3176</v>
      </c>
      <c r="I480" s="83" t="s">
        <v>3179</v>
      </c>
      <c r="J480" s="83" t="s">
        <v>3184</v>
      </c>
      <c r="K480" s="89" t="s">
        <v>3186</v>
      </c>
    </row>
    <row r="481" spans="2:11" x14ac:dyDescent="0.25">
      <c r="B481" s="88">
        <v>476</v>
      </c>
      <c r="C481" s="83" t="s">
        <v>3673</v>
      </c>
      <c r="D481" s="83" t="s">
        <v>3180</v>
      </c>
      <c r="E481" s="83" t="s">
        <v>3182</v>
      </c>
      <c r="F481" s="83" t="s">
        <v>3177</v>
      </c>
      <c r="G481" s="83" t="s">
        <v>3178</v>
      </c>
      <c r="H481" s="83" t="s">
        <v>3176</v>
      </c>
      <c r="I481" s="83" t="s">
        <v>3179</v>
      </c>
      <c r="J481" s="83" t="s">
        <v>3184</v>
      </c>
      <c r="K481" s="89" t="s">
        <v>3185</v>
      </c>
    </row>
    <row r="482" spans="2:11" x14ac:dyDescent="0.25">
      <c r="B482" s="88">
        <v>477</v>
      </c>
      <c r="C482" s="83" t="s">
        <v>3674</v>
      </c>
      <c r="D482" s="83" t="s">
        <v>3183</v>
      </c>
      <c r="E482" s="83" t="s">
        <v>3182</v>
      </c>
      <c r="F482" s="83" t="s">
        <v>3177</v>
      </c>
      <c r="G482" s="83" t="s">
        <v>3178</v>
      </c>
      <c r="H482" s="83" t="s">
        <v>3176</v>
      </c>
      <c r="I482" s="83" t="s">
        <v>3179</v>
      </c>
      <c r="J482" s="83" t="s">
        <v>3187</v>
      </c>
      <c r="K482" s="89" t="s">
        <v>3180</v>
      </c>
    </row>
    <row r="483" spans="2:11" x14ac:dyDescent="0.25">
      <c r="B483" s="88">
        <v>478</v>
      </c>
      <c r="C483" s="83" t="s">
        <v>3675</v>
      </c>
      <c r="D483" s="83" t="s">
        <v>3183</v>
      </c>
      <c r="E483" s="83" t="s">
        <v>3182</v>
      </c>
      <c r="F483" s="83" t="s">
        <v>3177</v>
      </c>
      <c r="G483" s="83" t="s">
        <v>3178</v>
      </c>
      <c r="H483" s="83" t="s">
        <v>3176</v>
      </c>
      <c r="I483" s="83" t="s">
        <v>3179</v>
      </c>
      <c r="J483" s="83" t="s">
        <v>3180</v>
      </c>
      <c r="K483" s="89" t="s">
        <v>3186</v>
      </c>
    </row>
    <row r="484" spans="2:11" x14ac:dyDescent="0.25">
      <c r="B484" s="88">
        <v>479</v>
      </c>
      <c r="C484" s="83" t="s">
        <v>3676</v>
      </c>
      <c r="D484" s="83" t="s">
        <v>3183</v>
      </c>
      <c r="E484" s="83" t="s">
        <v>3182</v>
      </c>
      <c r="F484" s="83" t="s">
        <v>3177</v>
      </c>
      <c r="G484" s="83" t="s">
        <v>3178</v>
      </c>
      <c r="H484" s="83" t="s">
        <v>3176</v>
      </c>
      <c r="I484" s="83" t="s">
        <v>3179</v>
      </c>
      <c r="J484" s="83" t="s">
        <v>3180</v>
      </c>
      <c r="K484" s="89" t="s">
        <v>3185</v>
      </c>
    </row>
    <row r="485" spans="2:11" x14ac:dyDescent="0.25">
      <c r="B485" s="88">
        <v>480</v>
      </c>
      <c r="C485" s="83" t="s">
        <v>3677</v>
      </c>
      <c r="D485" s="83" t="s">
        <v>3183</v>
      </c>
      <c r="E485" s="83" t="s">
        <v>3182</v>
      </c>
      <c r="F485" s="83" t="s">
        <v>3177</v>
      </c>
      <c r="G485" s="83" t="s">
        <v>3178</v>
      </c>
      <c r="H485" s="83" t="s">
        <v>3176</v>
      </c>
      <c r="I485" s="83" t="s">
        <v>3179</v>
      </c>
      <c r="J485" s="83" t="s">
        <v>3180</v>
      </c>
      <c r="K485" s="89" t="s">
        <v>3184</v>
      </c>
    </row>
    <row r="486" spans="2:11" x14ac:dyDescent="0.25">
      <c r="B486" s="88">
        <v>481</v>
      </c>
      <c r="C486" s="83" t="s">
        <v>3678</v>
      </c>
      <c r="D486" s="83" t="s">
        <v>3178</v>
      </c>
      <c r="E486" s="83" t="s">
        <v>3180</v>
      </c>
      <c r="F486" s="83" t="s">
        <v>3177</v>
      </c>
      <c r="G486" s="83" t="s">
        <v>3179</v>
      </c>
      <c r="H486" s="83" t="s">
        <v>3176</v>
      </c>
      <c r="I486" s="83" t="s">
        <v>3181</v>
      </c>
      <c r="J486" s="83" t="s">
        <v>3187</v>
      </c>
      <c r="K486" s="89" t="s">
        <v>3186</v>
      </c>
    </row>
    <row r="487" spans="2:11" x14ac:dyDescent="0.25">
      <c r="B487" s="88">
        <v>482</v>
      </c>
      <c r="C487" s="83" t="s">
        <v>3679</v>
      </c>
      <c r="D487" s="83" t="s">
        <v>3178</v>
      </c>
      <c r="E487" s="83" t="s">
        <v>3185</v>
      </c>
      <c r="F487" s="83" t="s">
        <v>3177</v>
      </c>
      <c r="G487" s="83" t="s">
        <v>3179</v>
      </c>
      <c r="H487" s="83" t="s">
        <v>3176</v>
      </c>
      <c r="I487" s="83" t="s">
        <v>3181</v>
      </c>
      <c r="J487" s="83" t="s">
        <v>3187</v>
      </c>
      <c r="K487" s="89" t="s">
        <v>3180</v>
      </c>
    </row>
    <row r="488" spans="2:11" x14ac:dyDescent="0.25">
      <c r="B488" s="88">
        <v>483</v>
      </c>
      <c r="C488" s="83" t="s">
        <v>3680</v>
      </c>
      <c r="D488" s="83" t="s">
        <v>3178</v>
      </c>
      <c r="E488" s="83" t="s">
        <v>3185</v>
      </c>
      <c r="F488" s="83" t="s">
        <v>3177</v>
      </c>
      <c r="G488" s="83" t="s">
        <v>3179</v>
      </c>
      <c r="H488" s="83" t="s">
        <v>3176</v>
      </c>
      <c r="I488" s="83" t="s">
        <v>3181</v>
      </c>
      <c r="J488" s="83" t="s">
        <v>3180</v>
      </c>
      <c r="K488" s="89" t="s">
        <v>3186</v>
      </c>
    </row>
    <row r="489" spans="2:11" x14ac:dyDescent="0.25">
      <c r="B489" s="88">
        <v>484</v>
      </c>
      <c r="C489" s="83" t="s">
        <v>3681</v>
      </c>
      <c r="D489" s="83" t="s">
        <v>3178</v>
      </c>
      <c r="E489" s="83" t="s">
        <v>3180</v>
      </c>
      <c r="F489" s="83" t="s">
        <v>3177</v>
      </c>
      <c r="G489" s="83" t="s">
        <v>3179</v>
      </c>
      <c r="H489" s="83" t="s">
        <v>3176</v>
      </c>
      <c r="I489" s="83" t="s">
        <v>3181</v>
      </c>
      <c r="J489" s="83" t="s">
        <v>3187</v>
      </c>
      <c r="K489" s="89" t="s">
        <v>3184</v>
      </c>
    </row>
    <row r="490" spans="2:11" x14ac:dyDescent="0.25">
      <c r="B490" s="88">
        <v>485</v>
      </c>
      <c r="C490" s="83" t="s">
        <v>3682</v>
      </c>
      <c r="D490" s="83" t="s">
        <v>3178</v>
      </c>
      <c r="E490" s="83" t="s">
        <v>3180</v>
      </c>
      <c r="F490" s="83" t="s">
        <v>3177</v>
      </c>
      <c r="G490" s="83" t="s">
        <v>3179</v>
      </c>
      <c r="H490" s="83" t="s">
        <v>3176</v>
      </c>
      <c r="I490" s="83" t="s">
        <v>3181</v>
      </c>
      <c r="J490" s="83" t="s">
        <v>3184</v>
      </c>
      <c r="K490" s="89" t="s">
        <v>3186</v>
      </c>
    </row>
    <row r="491" spans="2:11" x14ac:dyDescent="0.25">
      <c r="B491" s="88">
        <v>486</v>
      </c>
      <c r="C491" s="83" t="s">
        <v>3683</v>
      </c>
      <c r="D491" s="83" t="s">
        <v>3178</v>
      </c>
      <c r="E491" s="83" t="s">
        <v>3185</v>
      </c>
      <c r="F491" s="83" t="s">
        <v>3177</v>
      </c>
      <c r="G491" s="83" t="s">
        <v>3179</v>
      </c>
      <c r="H491" s="83" t="s">
        <v>3176</v>
      </c>
      <c r="I491" s="83" t="s">
        <v>3181</v>
      </c>
      <c r="J491" s="83" t="s">
        <v>3180</v>
      </c>
      <c r="K491" s="89" t="s">
        <v>3184</v>
      </c>
    </row>
    <row r="492" spans="2:11" x14ac:dyDescent="0.25">
      <c r="B492" s="88">
        <v>487</v>
      </c>
      <c r="C492" s="83" t="s">
        <v>3684</v>
      </c>
      <c r="D492" s="83" t="s">
        <v>3183</v>
      </c>
      <c r="E492" s="83" t="s">
        <v>3181</v>
      </c>
      <c r="F492" s="83" t="s">
        <v>3177</v>
      </c>
      <c r="G492" s="83" t="s">
        <v>3178</v>
      </c>
      <c r="H492" s="83" t="s">
        <v>3176</v>
      </c>
      <c r="I492" s="83" t="s">
        <v>3179</v>
      </c>
      <c r="J492" s="83" t="s">
        <v>3187</v>
      </c>
      <c r="K492" s="89" t="s">
        <v>3180</v>
      </c>
    </row>
    <row r="493" spans="2:11" x14ac:dyDescent="0.25">
      <c r="B493" s="88">
        <v>488</v>
      </c>
      <c r="C493" s="83" t="s">
        <v>3685</v>
      </c>
      <c r="D493" s="83" t="s">
        <v>3183</v>
      </c>
      <c r="E493" s="83" t="s">
        <v>3180</v>
      </c>
      <c r="F493" s="83" t="s">
        <v>3177</v>
      </c>
      <c r="G493" s="83" t="s">
        <v>3178</v>
      </c>
      <c r="H493" s="83" t="s">
        <v>3176</v>
      </c>
      <c r="I493" s="83" t="s">
        <v>3181</v>
      </c>
      <c r="J493" s="83" t="s">
        <v>3179</v>
      </c>
      <c r="K493" s="89" t="s">
        <v>3186</v>
      </c>
    </row>
    <row r="494" spans="2:11" x14ac:dyDescent="0.25">
      <c r="B494" s="88">
        <v>489</v>
      </c>
      <c r="C494" s="83" t="s">
        <v>3686</v>
      </c>
      <c r="D494" s="83" t="s">
        <v>3183</v>
      </c>
      <c r="E494" s="83" t="s">
        <v>3185</v>
      </c>
      <c r="F494" s="83" t="s">
        <v>3177</v>
      </c>
      <c r="G494" s="83" t="s">
        <v>3178</v>
      </c>
      <c r="H494" s="83" t="s">
        <v>3176</v>
      </c>
      <c r="I494" s="83" t="s">
        <v>3181</v>
      </c>
      <c r="J494" s="83" t="s">
        <v>3179</v>
      </c>
      <c r="K494" s="89" t="s">
        <v>3180</v>
      </c>
    </row>
    <row r="495" spans="2:11" x14ac:dyDescent="0.25">
      <c r="B495" s="88">
        <v>490</v>
      </c>
      <c r="C495" s="83" t="s">
        <v>3687</v>
      </c>
      <c r="D495" s="83" t="s">
        <v>3183</v>
      </c>
      <c r="E495" s="83" t="s">
        <v>3180</v>
      </c>
      <c r="F495" s="83" t="s">
        <v>3177</v>
      </c>
      <c r="G495" s="83" t="s">
        <v>3178</v>
      </c>
      <c r="H495" s="83" t="s">
        <v>3176</v>
      </c>
      <c r="I495" s="83" t="s">
        <v>3181</v>
      </c>
      <c r="J495" s="83" t="s">
        <v>3179</v>
      </c>
      <c r="K495" s="89" t="s">
        <v>3184</v>
      </c>
    </row>
    <row r="496" spans="2:11" x14ac:dyDescent="0.25">
      <c r="B496" s="88">
        <v>491</v>
      </c>
      <c r="C496" s="83" t="s">
        <v>3688</v>
      </c>
      <c r="D496" s="83" t="s">
        <v>3178</v>
      </c>
      <c r="E496" s="83" t="s">
        <v>3182</v>
      </c>
      <c r="F496" s="83" t="s">
        <v>3177</v>
      </c>
      <c r="G496" s="83" t="s">
        <v>3179</v>
      </c>
      <c r="H496" s="83" t="s">
        <v>3176</v>
      </c>
      <c r="I496" s="83" t="s">
        <v>3181</v>
      </c>
      <c r="J496" s="83" t="s">
        <v>3187</v>
      </c>
      <c r="K496" s="89" t="s">
        <v>3180</v>
      </c>
    </row>
    <row r="497" spans="2:11" x14ac:dyDescent="0.25">
      <c r="B497" s="88">
        <v>492</v>
      </c>
      <c r="C497" s="83" t="s">
        <v>3689</v>
      </c>
      <c r="D497" s="83" t="s">
        <v>3178</v>
      </c>
      <c r="E497" s="83" t="s">
        <v>3182</v>
      </c>
      <c r="F497" s="83" t="s">
        <v>3177</v>
      </c>
      <c r="G497" s="83" t="s">
        <v>3179</v>
      </c>
      <c r="H497" s="83" t="s">
        <v>3176</v>
      </c>
      <c r="I497" s="83" t="s">
        <v>3181</v>
      </c>
      <c r="J497" s="83" t="s">
        <v>3180</v>
      </c>
      <c r="K497" s="89" t="s">
        <v>3186</v>
      </c>
    </row>
    <row r="498" spans="2:11" x14ac:dyDescent="0.25">
      <c r="B498" s="88">
        <v>493</v>
      </c>
      <c r="C498" s="83" t="s">
        <v>3690</v>
      </c>
      <c r="D498" s="83" t="s">
        <v>3178</v>
      </c>
      <c r="E498" s="83" t="s">
        <v>3182</v>
      </c>
      <c r="F498" s="83" t="s">
        <v>3177</v>
      </c>
      <c r="G498" s="83" t="s">
        <v>3179</v>
      </c>
      <c r="H498" s="83" t="s">
        <v>3176</v>
      </c>
      <c r="I498" s="83" t="s">
        <v>3181</v>
      </c>
      <c r="J498" s="83" t="s">
        <v>3180</v>
      </c>
      <c r="K498" s="89" t="s">
        <v>3185</v>
      </c>
    </row>
    <row r="499" spans="2:11" x14ac:dyDescent="0.25">
      <c r="B499" s="88">
        <v>494</v>
      </c>
      <c r="C499" s="83" t="s">
        <v>3691</v>
      </c>
      <c r="D499" s="83" t="s">
        <v>3178</v>
      </c>
      <c r="E499" s="83" t="s">
        <v>3182</v>
      </c>
      <c r="F499" s="83" t="s">
        <v>3177</v>
      </c>
      <c r="G499" s="83" t="s">
        <v>3179</v>
      </c>
      <c r="H499" s="83" t="s">
        <v>3176</v>
      </c>
      <c r="I499" s="83" t="s">
        <v>3181</v>
      </c>
      <c r="J499" s="83" t="s">
        <v>3180</v>
      </c>
      <c r="K499" s="89" t="s">
        <v>3184</v>
      </c>
    </row>
    <row r="500" spans="2:11" x14ac:dyDescent="0.25">
      <c r="B500" s="90">
        <v>495</v>
      </c>
      <c r="C500" s="91" t="s">
        <v>3692</v>
      </c>
      <c r="D500" s="91" t="s">
        <v>3183</v>
      </c>
      <c r="E500" s="91" t="s">
        <v>3182</v>
      </c>
      <c r="F500" s="91" t="s">
        <v>3177</v>
      </c>
      <c r="G500" s="91" t="s">
        <v>3178</v>
      </c>
      <c r="H500" s="91" t="s">
        <v>3176</v>
      </c>
      <c r="I500" s="91" t="s">
        <v>3181</v>
      </c>
      <c r="J500" s="91" t="s">
        <v>3179</v>
      </c>
      <c r="K500" s="92" t="s">
        <v>3180</v>
      </c>
    </row>
  </sheetData>
  <sheetProtection algorithmName="SHA-512" hashValue="+Vw7+VqaozGqf/Js41FW3YI9BfLc9kPB0F1WTJwUJcBucMtGS1QSHY+yDgez4PgY5oAHEjp0+6GYuMiNO7b4eA==" saltValue="MKmg3mSTu+5BIRLN7jkTtw==" spinCount="100000" sheet="1" objects="1" scenarios="1"/>
  <protectedRanges>
    <protectedRange sqref="B3" name="Range1"/>
  </protectedRanges>
  <conditionalFormatting sqref="B6:K500">
    <cfRule type="expression" dxfId="0" priority="1">
      <formula>IF($B$3=$B6,1,0)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T</vt:lpstr>
      <vt:lpstr>Settings</vt:lpstr>
      <vt:lpstr>2026 World Cup</vt:lpstr>
      <vt:lpstr>3rd places</vt:lpstr>
      <vt:lpstr>db_fifarank</vt:lpstr>
      <vt:lpstr>gmt_delta</vt:lpstr>
      <vt:lpstr>group_round_completed</vt:lpstr>
      <vt:lpstr>lang</vt:lpstr>
      <vt:lpstr>lang_list</vt:lpstr>
      <vt:lpstr>my_team</vt:lpstr>
      <vt:lpstr>T</vt:lpstr>
      <vt:lpstr>teams</vt:lpstr>
    </vt:vector>
  </TitlesOfParts>
  <Manager/>
  <Company>www.excely.com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2026 FIFA World Cup Schedule</dc:title>
  <dc:subject/>
  <dc:creator>Denys Kozyr</dc:creator>
  <cp:keywords>fifa;world cup;schedule;spreadsheet</cp:keywords>
  <dc:description/>
  <cp:lastModifiedBy>Denys Kozyr</cp:lastModifiedBy>
  <cp:revision/>
  <cp:lastPrinted>2026-05-02T11:12:29Z</cp:lastPrinted>
  <dcterms:created xsi:type="dcterms:W3CDTF">2017-12-27T19:32:51Z</dcterms:created>
  <dcterms:modified xsi:type="dcterms:W3CDTF">2026-05-02T11:31:18Z</dcterms:modified>
  <cp:category>Sports</cp:category>
  <cp:contentStatus/>
</cp:coreProperties>
</file>