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5030" windowHeight="8700" firstSheet="1" activeTab="1"/>
  </bookViews>
  <sheets>
    <sheet name="T" sheetId="9" state="veryHidden" r:id="rId1"/>
    <sheet name="Champions League. Group Stage" sheetId="8" r:id="rId2"/>
    <sheet name="Final Phase" sheetId="10" state="veryHidden" r:id="rId3"/>
  </sheets>
  <definedNames>
    <definedName name="Fixtures_A">'Champions League. Group Stage'!$A$9</definedName>
    <definedName name="Fixtures_B">'Champions League. Group Stage'!$Z$9</definedName>
    <definedName name="Fixtures_C">'Champions League. Group Stage'!$A$21</definedName>
    <definedName name="Fixtures_D">'Champions League. Group Stage'!$Z$21</definedName>
    <definedName name="Fixtures_E">'Champions League. Group Stage'!$A$33</definedName>
    <definedName name="Fixtures_F">'Champions League. Group Stage'!$Z$33</definedName>
    <definedName name="Fixtures_G">'Champions League. Group Stage'!$A$45</definedName>
    <definedName name="Fixtures_H">'Champions League. Group Stage'!$Z$45</definedName>
    <definedName name="Group_A">'Champions League. Group Stage'!$K$7:$P$12</definedName>
    <definedName name="Group_B">'Champions League. Group Stage'!$K$14:$P$19</definedName>
    <definedName name="Group_C">'Champions League. Group Stage'!$K$21:$P$26</definedName>
    <definedName name="Group_D">'Champions League. Group Stage'!$K$28:$P$33</definedName>
    <definedName name="Group_E">'Champions League. Group Stage'!$K$35:$P$40</definedName>
    <definedName name="Group_F">'Champions League. Group Stage'!$K$42:$P$47</definedName>
    <definedName name="Group_G">'Champions League. Group Stage'!$K$49:$P$54</definedName>
    <definedName name="Group_H">'Champions League. Group Stage'!$K$56:$P$61</definedName>
    <definedName name="langID">'Champions League. Group Stage'!$BS$8</definedName>
    <definedName name="langList">'Champions League. Group Stage'!$BR$9:$BS$16</definedName>
    <definedName name="LangVal">'Champions League. Group Stage'!$BR$8</definedName>
    <definedName name="_xlnm.Print_Area" localSheetId="1">'Champions League. Group Stage'!$A$1:$Z$62</definedName>
    <definedName name="_xlnm.Print_Area" localSheetId="2">'Final Phase'!$A$1:$AG$46</definedName>
    <definedName name="T">T!$1:$1048576</definedName>
  </definedNames>
  <calcPr calcId="145621"/>
</workbook>
</file>

<file path=xl/calcChain.xml><?xml version="1.0" encoding="utf-8"?>
<calcChain xmlns="http://schemas.openxmlformats.org/spreadsheetml/2006/main">
  <c r="U27" i="8" l="1"/>
  <c r="U28" i="8"/>
  <c r="U26" i="8"/>
  <c r="U56" i="8"/>
  <c r="T56" i="8"/>
  <c r="S56" i="8"/>
  <c r="U55" i="8"/>
  <c r="T55" i="8"/>
  <c r="S55" i="8"/>
  <c r="U54" i="8"/>
  <c r="T54" i="8"/>
  <c r="S54" i="8"/>
  <c r="U53" i="8"/>
  <c r="T53" i="8"/>
  <c r="S53" i="8"/>
  <c r="U52" i="8"/>
  <c r="T52" i="8"/>
  <c r="S52" i="8"/>
  <c r="U51" i="8"/>
  <c r="T51" i="8"/>
  <c r="S51" i="8"/>
  <c r="U50" i="8"/>
  <c r="T50" i="8"/>
  <c r="S50" i="8"/>
  <c r="U49" i="8"/>
  <c r="T49" i="8"/>
  <c r="S49" i="8"/>
  <c r="U48" i="8"/>
  <c r="T48" i="8"/>
  <c r="S48" i="8"/>
  <c r="U47" i="8"/>
  <c r="T47" i="8"/>
  <c r="S47" i="8"/>
  <c r="U46" i="8"/>
  <c r="T46" i="8"/>
  <c r="S46" i="8"/>
  <c r="U45" i="8"/>
  <c r="T45" i="8"/>
  <c r="S45" i="8"/>
  <c r="U44" i="8"/>
  <c r="T44" i="8"/>
  <c r="S44" i="8"/>
  <c r="U43" i="8"/>
  <c r="T43" i="8"/>
  <c r="S43" i="8"/>
  <c r="U42" i="8"/>
  <c r="T42" i="8"/>
  <c r="S42" i="8"/>
  <c r="U41" i="8"/>
  <c r="T41" i="8"/>
  <c r="S41" i="8"/>
  <c r="U40" i="8"/>
  <c r="T40" i="8"/>
  <c r="S40" i="8"/>
  <c r="U39" i="8"/>
  <c r="T39" i="8"/>
  <c r="S39" i="8"/>
  <c r="U38" i="8"/>
  <c r="T38" i="8"/>
  <c r="S38" i="8"/>
  <c r="U37" i="8"/>
  <c r="T37" i="8"/>
  <c r="S37" i="8"/>
  <c r="U36" i="8"/>
  <c r="T36" i="8"/>
  <c r="S36" i="8"/>
  <c r="U35" i="8"/>
  <c r="T35" i="8"/>
  <c r="S35" i="8"/>
  <c r="U34" i="8"/>
  <c r="T34" i="8"/>
  <c r="S34" i="8"/>
  <c r="U33" i="8"/>
  <c r="T33" i="8"/>
  <c r="S33" i="8"/>
  <c r="U32" i="8"/>
  <c r="T32" i="8"/>
  <c r="S32" i="8"/>
  <c r="U31" i="8"/>
  <c r="T31" i="8"/>
  <c r="S31" i="8"/>
  <c r="T30" i="8"/>
  <c r="S30" i="8"/>
  <c r="U29" i="8"/>
  <c r="T29" i="8"/>
  <c r="S29" i="8"/>
  <c r="T28" i="8"/>
  <c r="S28" i="8"/>
  <c r="T27" i="8"/>
  <c r="S27" i="8"/>
  <c r="T26" i="8"/>
  <c r="S26" i="8"/>
  <c r="T25" i="8"/>
  <c r="S25" i="8"/>
  <c r="U24" i="8"/>
  <c r="T24" i="8"/>
  <c r="S24" i="8"/>
  <c r="T23" i="8"/>
  <c r="S23" i="8"/>
  <c r="U22" i="8"/>
  <c r="T22" i="8"/>
  <c r="S22" i="8"/>
  <c r="U21" i="8"/>
  <c r="T21" i="8"/>
  <c r="S21" i="8"/>
  <c r="U20" i="8"/>
  <c r="T20" i="8"/>
  <c r="S20" i="8"/>
  <c r="U19" i="8"/>
  <c r="T19" i="8"/>
  <c r="S19" i="8"/>
  <c r="U18" i="8"/>
  <c r="T18" i="8"/>
  <c r="S18" i="8"/>
  <c r="U17" i="8"/>
  <c r="T17" i="8"/>
  <c r="S17" i="8"/>
  <c r="U16" i="8"/>
  <c r="T16" i="8"/>
  <c r="S16" i="8"/>
  <c r="U15" i="8"/>
  <c r="T15" i="8"/>
  <c r="S15" i="8"/>
  <c r="U14" i="8"/>
  <c r="T14" i="8"/>
  <c r="S14" i="8"/>
  <c r="U13" i="8"/>
  <c r="T13" i="8"/>
  <c r="S13" i="8"/>
  <c r="U12" i="8"/>
  <c r="T12" i="8"/>
  <c r="S12" i="8"/>
  <c r="U11" i="8"/>
  <c r="T11" i="8"/>
  <c r="S11" i="8"/>
  <c r="U10" i="8"/>
  <c r="T10" i="8"/>
  <c r="S10" i="8"/>
  <c r="U9" i="8"/>
  <c r="T9" i="8"/>
  <c r="S9" i="8"/>
  <c r="AL25" i="10" l="1"/>
  <c r="AL23" i="10"/>
  <c r="I34" i="10"/>
  <c r="F34" i="10"/>
  <c r="AL34" i="10" s="1"/>
  <c r="I33" i="10"/>
  <c r="F33" i="10"/>
  <c r="AL33" i="10" s="1"/>
  <c r="I32" i="10"/>
  <c r="AL32" i="10" s="1"/>
  <c r="F32" i="10"/>
  <c r="I31" i="10"/>
  <c r="AL31" i="10" s="1"/>
  <c r="F31" i="10"/>
  <c r="I30" i="10"/>
  <c r="F30" i="10"/>
  <c r="I29" i="10"/>
  <c r="F29" i="10"/>
  <c r="I28" i="10"/>
  <c r="F28" i="10"/>
  <c r="AL28" i="10" s="1"/>
  <c r="I27" i="10"/>
  <c r="F27" i="10"/>
  <c r="AL27" i="10" s="1"/>
  <c r="BC97" i="8"/>
  <c r="AY100" i="8"/>
  <c r="BC96" i="8"/>
  <c r="BC101" i="8"/>
  <c r="AY94" i="8"/>
  <c r="AY104" i="8"/>
  <c r="BC9" i="8"/>
  <c r="BC10" i="8"/>
  <c r="BC11" i="8"/>
  <c r="BC12" i="8"/>
  <c r="BC13" i="8"/>
  <c r="BC14" i="8"/>
  <c r="BC15" i="8"/>
  <c r="BC16" i="8"/>
  <c r="BC17" i="8"/>
  <c r="BC18" i="8"/>
  <c r="BC19" i="8"/>
  <c r="BC20" i="8"/>
  <c r="BC21" i="8"/>
  <c r="BC22" i="8"/>
  <c r="BC23" i="8"/>
  <c r="BC24" i="8"/>
  <c r="BC25" i="8"/>
  <c r="BC26" i="8"/>
  <c r="BC27" i="8"/>
  <c r="BC28" i="8"/>
  <c r="BC29" i="8"/>
  <c r="BC30" i="8"/>
  <c r="BC31" i="8"/>
  <c r="BC32" i="8"/>
  <c r="BC33" i="8"/>
  <c r="BC34" i="8"/>
  <c r="BC35" i="8"/>
  <c r="BC36" i="8"/>
  <c r="BC38" i="8"/>
  <c r="BC39" i="8"/>
  <c r="BC40" i="8"/>
  <c r="BC41" i="8"/>
  <c r="BC42" i="8"/>
  <c r="BC43" i="8"/>
  <c r="BC44" i="8"/>
  <c r="BC45" i="8"/>
  <c r="BC46" i="8"/>
  <c r="BC47" i="8"/>
  <c r="BC48" i="8"/>
  <c r="BC49" i="8"/>
  <c r="BC50" i="8"/>
  <c r="BC51" i="8"/>
  <c r="BC52" i="8"/>
  <c r="BC53" i="8"/>
  <c r="BC54" i="8"/>
  <c r="BC55" i="8"/>
  <c r="BC56" i="8"/>
  <c r="BC57" i="8"/>
  <c r="BC58" i="8"/>
  <c r="BC59" i="8"/>
  <c r="BC60" i="8"/>
  <c r="BC61" i="8"/>
  <c r="BC62" i="8"/>
  <c r="BC63" i="8"/>
  <c r="BC64" i="8"/>
  <c r="BC65" i="8"/>
  <c r="BC66" i="8"/>
  <c r="BC67" i="8"/>
  <c r="BC68" i="8"/>
  <c r="BC69" i="8"/>
  <c r="BC70" i="8"/>
  <c r="BC71" i="8"/>
  <c r="BC72" i="8"/>
  <c r="BC73" i="8"/>
  <c r="BC74" i="8"/>
  <c r="BC75" i="8"/>
  <c r="BC76" i="8"/>
  <c r="BC77" i="8"/>
  <c r="BC78" i="8"/>
  <c r="BC79" i="8"/>
  <c r="BC80" i="8"/>
  <c r="BC81" i="8"/>
  <c r="BC82" i="8"/>
  <c r="BC83" i="8"/>
  <c r="BC84" i="8"/>
  <c r="BC85" i="8"/>
  <c r="BC86" i="8"/>
  <c r="BC87" i="8"/>
  <c r="BC88" i="8"/>
  <c r="BC89" i="8"/>
  <c r="BC90" i="8"/>
  <c r="BC91" i="8"/>
  <c r="BC92" i="8"/>
  <c r="BC93" i="8"/>
  <c r="BC94" i="8"/>
  <c r="BC95" i="8"/>
  <c r="BC98" i="8"/>
  <c r="BC99" i="8"/>
  <c r="BC100" i="8"/>
  <c r="BC102" i="8"/>
  <c r="BC103" i="8"/>
  <c r="BC104" i="8"/>
  <c r="AY9" i="8"/>
  <c r="AY10" i="8"/>
  <c r="AY11" i="8"/>
  <c r="AY12" i="8"/>
  <c r="AY13" i="8"/>
  <c r="AY14" i="8"/>
  <c r="AY15" i="8"/>
  <c r="AY16" i="8"/>
  <c r="AY17" i="8"/>
  <c r="AY18" i="8"/>
  <c r="AY19" i="8"/>
  <c r="AY20" i="8"/>
  <c r="AY21" i="8"/>
  <c r="AY22" i="8"/>
  <c r="AY23" i="8"/>
  <c r="AY24" i="8"/>
  <c r="AY25" i="8"/>
  <c r="AY26" i="8"/>
  <c r="AY27" i="8"/>
  <c r="AY28" i="8"/>
  <c r="AY29" i="8"/>
  <c r="AY30" i="8"/>
  <c r="AY31" i="8"/>
  <c r="AY32" i="8"/>
  <c r="AY33" i="8"/>
  <c r="AY34" i="8"/>
  <c r="AY35" i="8"/>
  <c r="AY36" i="8"/>
  <c r="AY38" i="8"/>
  <c r="AY39" i="8"/>
  <c r="AY40" i="8"/>
  <c r="AY41" i="8"/>
  <c r="AY42" i="8"/>
  <c r="AY43" i="8"/>
  <c r="AY44" i="8"/>
  <c r="AY45" i="8"/>
  <c r="AY46" i="8"/>
  <c r="AY47" i="8"/>
  <c r="AY48" i="8"/>
  <c r="AY49" i="8"/>
  <c r="AY50" i="8"/>
  <c r="AY51" i="8"/>
  <c r="AY52" i="8"/>
  <c r="AY53" i="8"/>
  <c r="AY54" i="8"/>
  <c r="AY55" i="8"/>
  <c r="AY56" i="8"/>
  <c r="AY57" i="8"/>
  <c r="AY58" i="8"/>
  <c r="AY59" i="8"/>
  <c r="AY60" i="8"/>
  <c r="AY61" i="8"/>
  <c r="AY62" i="8"/>
  <c r="AY63" i="8"/>
  <c r="AY64" i="8"/>
  <c r="AY65" i="8"/>
  <c r="AY66" i="8"/>
  <c r="AY67" i="8"/>
  <c r="AY68" i="8"/>
  <c r="AY69" i="8"/>
  <c r="AY70" i="8"/>
  <c r="AY71" i="8"/>
  <c r="AY72" i="8"/>
  <c r="AY73" i="8"/>
  <c r="AY74" i="8"/>
  <c r="AY75" i="8"/>
  <c r="AY76" i="8"/>
  <c r="AY77" i="8"/>
  <c r="AY78" i="8"/>
  <c r="AY79" i="8"/>
  <c r="AY80" i="8"/>
  <c r="AY81" i="8"/>
  <c r="AY82" i="8"/>
  <c r="AY83" i="8"/>
  <c r="AY84" i="8"/>
  <c r="AY85" i="8"/>
  <c r="AY86" i="8"/>
  <c r="AY87" i="8"/>
  <c r="AY88" i="8"/>
  <c r="AY89" i="8"/>
  <c r="AY90" i="8"/>
  <c r="AY91" i="8"/>
  <c r="AY92" i="8"/>
  <c r="AY93" i="8"/>
  <c r="AY95" i="8"/>
  <c r="AY96" i="8"/>
  <c r="AY97" i="8"/>
  <c r="AY98" i="8"/>
  <c r="AY99" i="8"/>
  <c r="AY101" i="8"/>
  <c r="AY102" i="8"/>
  <c r="AY103" i="8"/>
  <c r="BA97" i="8"/>
  <c r="AW100" i="8"/>
  <c r="BA96" i="8"/>
  <c r="BA101" i="8"/>
  <c r="AW94" i="8"/>
  <c r="AW104" i="8"/>
  <c r="BA9" i="8"/>
  <c r="BA10" i="8"/>
  <c r="BA11" i="8"/>
  <c r="BA12" i="8"/>
  <c r="BA13" i="8"/>
  <c r="BA14" i="8"/>
  <c r="BA15" i="8"/>
  <c r="BA16" i="8"/>
  <c r="BA17" i="8"/>
  <c r="BA18" i="8"/>
  <c r="BA19" i="8"/>
  <c r="BA20" i="8"/>
  <c r="BA21" i="8"/>
  <c r="BA22" i="8"/>
  <c r="BA23" i="8"/>
  <c r="BA24" i="8"/>
  <c r="BA25" i="8"/>
  <c r="BA26" i="8"/>
  <c r="BA27" i="8"/>
  <c r="BA28" i="8"/>
  <c r="BA29" i="8"/>
  <c r="BA30" i="8"/>
  <c r="BA31" i="8"/>
  <c r="BA32" i="8"/>
  <c r="BA33" i="8"/>
  <c r="BA34" i="8"/>
  <c r="BA35" i="8"/>
  <c r="BA36" i="8"/>
  <c r="BA38" i="8"/>
  <c r="BA39" i="8"/>
  <c r="BA40" i="8"/>
  <c r="BA41" i="8"/>
  <c r="BA42" i="8"/>
  <c r="BA43" i="8"/>
  <c r="BA44" i="8"/>
  <c r="BA45" i="8"/>
  <c r="BA46" i="8"/>
  <c r="BA47" i="8"/>
  <c r="BA48" i="8"/>
  <c r="BA49" i="8"/>
  <c r="BA50" i="8"/>
  <c r="BA51" i="8"/>
  <c r="BA52" i="8"/>
  <c r="BA53" i="8"/>
  <c r="BA54" i="8"/>
  <c r="BA55" i="8"/>
  <c r="BA56" i="8"/>
  <c r="BA57" i="8"/>
  <c r="BA58" i="8"/>
  <c r="BA59" i="8"/>
  <c r="BA60" i="8"/>
  <c r="BA61" i="8"/>
  <c r="BA62" i="8"/>
  <c r="BA63" i="8"/>
  <c r="BA64" i="8"/>
  <c r="BA65" i="8"/>
  <c r="BA66" i="8"/>
  <c r="BA67" i="8"/>
  <c r="BA68" i="8"/>
  <c r="BA69" i="8"/>
  <c r="BA70" i="8"/>
  <c r="BA71" i="8"/>
  <c r="BA72" i="8"/>
  <c r="BA73" i="8"/>
  <c r="BA74" i="8"/>
  <c r="BA75" i="8"/>
  <c r="BA76" i="8"/>
  <c r="BA77" i="8"/>
  <c r="BA78" i="8"/>
  <c r="BA79" i="8"/>
  <c r="BA80" i="8"/>
  <c r="BA81" i="8"/>
  <c r="BA82" i="8"/>
  <c r="BA83" i="8"/>
  <c r="BA84" i="8"/>
  <c r="BA85" i="8"/>
  <c r="BA86" i="8"/>
  <c r="BA87" i="8"/>
  <c r="BA88" i="8"/>
  <c r="BA89" i="8"/>
  <c r="BA90" i="8"/>
  <c r="BA91" i="8"/>
  <c r="BA92" i="8"/>
  <c r="BA93" i="8"/>
  <c r="BA94" i="8"/>
  <c r="BA95" i="8"/>
  <c r="BA98" i="8"/>
  <c r="BA99" i="8"/>
  <c r="BA100" i="8"/>
  <c r="BA102" i="8"/>
  <c r="BA103" i="8"/>
  <c r="BA104" i="8"/>
  <c r="AW9" i="8"/>
  <c r="AW10" i="8"/>
  <c r="AW11" i="8"/>
  <c r="AW12" i="8"/>
  <c r="AW13" i="8"/>
  <c r="AW14" i="8"/>
  <c r="AW15" i="8"/>
  <c r="AW16" i="8"/>
  <c r="AW17" i="8"/>
  <c r="AW18" i="8"/>
  <c r="AW19" i="8"/>
  <c r="AW20" i="8"/>
  <c r="AW21" i="8"/>
  <c r="AW22" i="8"/>
  <c r="AW23" i="8"/>
  <c r="AW24" i="8"/>
  <c r="AW25" i="8"/>
  <c r="AW26" i="8"/>
  <c r="AW27" i="8"/>
  <c r="AW28" i="8"/>
  <c r="AW29" i="8"/>
  <c r="AW30" i="8"/>
  <c r="AW31" i="8"/>
  <c r="AW32" i="8"/>
  <c r="AW33" i="8"/>
  <c r="AW34" i="8"/>
  <c r="AW35" i="8"/>
  <c r="AW36" i="8"/>
  <c r="AW38" i="8"/>
  <c r="AW39" i="8"/>
  <c r="AW40" i="8"/>
  <c r="AW41" i="8"/>
  <c r="AW42" i="8"/>
  <c r="AW43" i="8"/>
  <c r="AW44" i="8"/>
  <c r="AW45" i="8"/>
  <c r="AW46" i="8"/>
  <c r="AW47" i="8"/>
  <c r="AW48" i="8"/>
  <c r="AW49" i="8"/>
  <c r="AW50" i="8"/>
  <c r="AW51" i="8"/>
  <c r="AW52" i="8"/>
  <c r="AW53" i="8"/>
  <c r="AW54" i="8"/>
  <c r="AW55" i="8"/>
  <c r="AW56" i="8"/>
  <c r="AW57" i="8"/>
  <c r="AW58" i="8"/>
  <c r="AW59" i="8"/>
  <c r="AW60" i="8"/>
  <c r="AW61" i="8"/>
  <c r="AW62" i="8"/>
  <c r="AW63" i="8"/>
  <c r="AW64" i="8"/>
  <c r="AW65" i="8"/>
  <c r="AW66" i="8"/>
  <c r="AW67" i="8"/>
  <c r="AW68" i="8"/>
  <c r="AW69" i="8"/>
  <c r="AW70" i="8"/>
  <c r="AW71" i="8"/>
  <c r="AW72" i="8"/>
  <c r="AW73" i="8"/>
  <c r="AW74" i="8"/>
  <c r="AW75" i="8"/>
  <c r="AW76" i="8"/>
  <c r="AW77" i="8"/>
  <c r="AW78" i="8"/>
  <c r="AW79" i="8"/>
  <c r="AW80" i="8"/>
  <c r="AW81" i="8"/>
  <c r="AW82" i="8"/>
  <c r="AW83" i="8"/>
  <c r="AW84" i="8"/>
  <c r="AW85" i="8"/>
  <c r="AW86" i="8"/>
  <c r="AW87" i="8"/>
  <c r="AW88" i="8"/>
  <c r="AW89" i="8"/>
  <c r="AW90" i="8"/>
  <c r="AW91" i="8"/>
  <c r="AW92" i="8"/>
  <c r="AW93" i="8"/>
  <c r="AW95" i="8"/>
  <c r="AW96" i="8"/>
  <c r="AW97" i="8"/>
  <c r="AW98" i="8"/>
  <c r="AW99" i="8"/>
  <c r="AW101" i="8"/>
  <c r="AW102" i="8"/>
  <c r="AW103" i="8"/>
  <c r="AY37" i="8"/>
  <c r="AW37" i="8"/>
  <c r="BC37" i="8"/>
  <c r="BA37" i="8"/>
  <c r="BR8" i="8"/>
  <c r="BS8" i="8" s="1"/>
  <c r="B42" i="10" s="1"/>
  <c r="I21" i="10"/>
  <c r="I22" i="10"/>
  <c r="I23" i="10"/>
  <c r="I24" i="10"/>
  <c r="AL24" i="10" s="1"/>
  <c r="I25" i="10"/>
  <c r="I26" i="10"/>
  <c r="I20" i="10"/>
  <c r="I19" i="10"/>
  <c r="AL19" i="10" s="1"/>
  <c r="F21" i="10"/>
  <c r="AL21" i="10" s="1"/>
  <c r="F22" i="10"/>
  <c r="AL22" i="10" s="1"/>
  <c r="F23" i="10"/>
  <c r="F24" i="10"/>
  <c r="F25" i="10"/>
  <c r="F26" i="10"/>
  <c r="AL26" i="10" s="1"/>
  <c r="F20" i="10"/>
  <c r="AL20" i="10" s="1"/>
  <c r="F19" i="10"/>
  <c r="AR13" i="10"/>
  <c r="AR14" i="10"/>
  <c r="BQ8" i="8"/>
  <c r="L42" i="8"/>
  <c r="AL30" i="10"/>
  <c r="AL29" i="10"/>
  <c r="Q15" i="10"/>
  <c r="T21" i="10" s="1"/>
  <c r="T15" i="10"/>
  <c r="Q21" i="10" s="1"/>
  <c r="AO15" i="10"/>
  <c r="T16" i="10"/>
  <c r="Q22" i="10" s="1"/>
  <c r="Q16" i="10"/>
  <c r="T22" i="10" s="1"/>
  <c r="AO22" i="10"/>
  <c r="AO16" i="10"/>
  <c r="Q17" i="10"/>
  <c r="T19" i="10" s="1"/>
  <c r="T17" i="10"/>
  <c r="Q19" i="10" s="1"/>
  <c r="AO19" i="10"/>
  <c r="AO17" i="10"/>
  <c r="Q18" i="10"/>
  <c r="T18" i="10"/>
  <c r="AO18" i="10"/>
  <c r="Q20" i="10"/>
  <c r="AO20" i="10"/>
  <c r="AE13" i="10"/>
  <c r="AB16" i="10" s="1"/>
  <c r="AR16" i="10"/>
  <c r="AR19" i="10"/>
  <c r="AB13" i="10"/>
  <c r="AE16" i="10" s="1"/>
  <c r="AE14" i="10"/>
  <c r="AB15" i="10" s="1"/>
  <c r="AR15" i="10"/>
  <c r="AB14" i="10"/>
  <c r="AE15" i="10" s="1"/>
  <c r="AQ37" i="10"/>
  <c r="Z40" i="10" s="1"/>
  <c r="T20" i="10"/>
  <c r="AO21" i="10"/>
  <c r="AR20" i="10"/>
  <c r="AO27" i="10"/>
  <c r="M27" i="10" s="1"/>
  <c r="AO26" i="10"/>
  <c r="AO25" i="10"/>
  <c r="AO28" i="10"/>
  <c r="AL39" i="10"/>
  <c r="AL40" i="10"/>
  <c r="AL41" i="10"/>
  <c r="B41" i="10" s="1"/>
  <c r="AL42" i="10"/>
  <c r="AL43" i="10"/>
  <c r="B43" i="10" s="1"/>
  <c r="AL44" i="10"/>
  <c r="B40" i="10"/>
  <c r="P56" i="8"/>
  <c r="M14" i="10"/>
  <c r="B19" i="10"/>
  <c r="B31" i="10"/>
  <c r="Z33" i="8"/>
  <c r="L21" i="8"/>
  <c r="M56" i="8"/>
  <c r="D3" i="8"/>
  <c r="AR7" i="10"/>
  <c r="AQ8" i="10" s="1"/>
  <c r="B39" i="10"/>
  <c r="AQ7" i="10"/>
  <c r="AQ9" i="10"/>
  <c r="AQ10" i="10"/>
  <c r="K7" i="8" l="1"/>
  <c r="P42" i="8"/>
  <c r="O35" i="8"/>
  <c r="K42" i="8"/>
  <c r="B6" i="10"/>
  <c r="B23" i="10"/>
  <c r="AB12" i="10"/>
  <c r="F1" i="8"/>
  <c r="O21" i="8"/>
  <c r="Q40" i="10"/>
  <c r="A1" i="10"/>
  <c r="N28" i="8"/>
  <c r="M49" i="8"/>
  <c r="L7" i="8"/>
  <c r="A9" i="8"/>
  <c r="B28" i="10"/>
  <c r="M20" i="10"/>
  <c r="Z21" i="8"/>
  <c r="R7" i="8"/>
  <c r="M19" i="10"/>
  <c r="B27" i="10"/>
  <c r="B21" i="10"/>
  <c r="T14" i="10"/>
  <c r="F18" i="10"/>
  <c r="A3" i="10"/>
  <c r="M25" i="10"/>
  <c r="M14" i="8"/>
  <c r="O42" i="8"/>
  <c r="L56" i="8"/>
  <c r="N35" i="8"/>
  <c r="P7" i="8"/>
  <c r="K35" i="8"/>
  <c r="A33" i="8"/>
  <c r="I7" i="8"/>
  <c r="X14" i="10"/>
  <c r="B32" i="10"/>
  <c r="B24" i="10"/>
  <c r="M35" i="8"/>
  <c r="F7" i="8"/>
  <c r="K28" i="8"/>
  <c r="N42" i="8"/>
  <c r="O7" i="8"/>
  <c r="P49" i="8"/>
  <c r="B43" i="8"/>
  <c r="R43" i="8" s="1"/>
  <c r="B19" i="8"/>
  <c r="R19" i="8" s="1"/>
  <c r="AC9" i="8"/>
  <c r="F12" i="8" s="1"/>
  <c r="B15" i="8"/>
  <c r="R15" i="8" s="1"/>
  <c r="B39" i="8"/>
  <c r="R39" i="8" s="1"/>
  <c r="AC10" i="8"/>
  <c r="I18" i="8" s="1"/>
  <c r="M16" i="10"/>
  <c r="AB34" i="10"/>
  <c r="AC37" i="8"/>
  <c r="F39" i="8" s="1"/>
  <c r="BD63" i="8" s="1"/>
  <c r="BU39" i="8" s="1"/>
  <c r="AC53" i="8"/>
  <c r="I51" i="8" s="1"/>
  <c r="BE87" i="8" s="1"/>
  <c r="BV51" i="8" s="1"/>
  <c r="AC46" i="8"/>
  <c r="Y39" i="8" s="1"/>
  <c r="BE75" i="8" s="1"/>
  <c r="BX39" i="8" s="1"/>
  <c r="AC23" i="8"/>
  <c r="F27" i="8" s="1"/>
  <c r="AC18" i="8"/>
  <c r="Y15" i="8" s="1"/>
  <c r="AC58" i="8"/>
  <c r="Y49" i="8" s="1"/>
  <c r="BE97" i="8" s="1"/>
  <c r="BX49" i="8" s="1"/>
  <c r="AC30" i="8"/>
  <c r="Y25" i="8" s="1"/>
  <c r="BE49" i="8" s="1"/>
  <c r="BX25" i="8" s="1"/>
  <c r="B40" i="8"/>
  <c r="R40" i="8" s="1"/>
  <c r="B16" i="8"/>
  <c r="R16" i="8" s="1"/>
  <c r="M17" i="10"/>
  <c r="B44" i="10"/>
  <c r="AC51" i="8"/>
  <c r="AC39" i="8"/>
  <c r="F37" i="8" s="1"/>
  <c r="BD61" i="8" s="1"/>
  <c r="BU37" i="8" s="1"/>
  <c r="AC25" i="8"/>
  <c r="AC60" i="8"/>
  <c r="Y46" i="8" s="1"/>
  <c r="AZ94" i="8" s="1"/>
  <c r="AC44" i="8"/>
  <c r="AC32" i="8"/>
  <c r="Y31" i="8" s="1"/>
  <c r="AZ55" i="8" s="1"/>
  <c r="AC16" i="8"/>
  <c r="B20" i="8"/>
  <c r="R20" i="8" s="1"/>
  <c r="B44" i="8"/>
  <c r="R44" i="8" s="1"/>
  <c r="X16" i="10"/>
  <c r="P14" i="8"/>
  <c r="F14" i="8"/>
  <c r="F49" i="8"/>
  <c r="BD85" i="8" s="1"/>
  <c r="BU49" i="8" s="1"/>
  <c r="F41" i="8"/>
  <c r="AV65" i="8" s="1"/>
  <c r="I37" i="8"/>
  <c r="BE61" i="8" s="1"/>
  <c r="BV37" i="8" s="1"/>
  <c r="F29" i="8"/>
  <c r="I25" i="8"/>
  <c r="BE37" i="8" s="1"/>
  <c r="BV25" i="8" s="1"/>
  <c r="V51" i="8"/>
  <c r="BD99" i="8" s="1"/>
  <c r="BW51" i="8" s="1"/>
  <c r="V35" i="8"/>
  <c r="BD71" i="8" s="1"/>
  <c r="BW35" i="8" s="1"/>
  <c r="V37" i="8"/>
  <c r="BD73" i="8" s="1"/>
  <c r="BW37" i="8" s="1"/>
  <c r="V27" i="8"/>
  <c r="BD51" i="8" s="1"/>
  <c r="BW27" i="8" s="1"/>
  <c r="V13" i="8"/>
  <c r="BD25" i="8" s="1"/>
  <c r="BW13" i="8" s="1"/>
  <c r="I13" i="8"/>
  <c r="F48" i="8"/>
  <c r="AV84" i="8" s="1"/>
  <c r="I49" i="8"/>
  <c r="BE85" i="8" s="1"/>
  <c r="BV49" i="8" s="1"/>
  <c r="F51" i="8"/>
  <c r="BD87" i="8" s="1"/>
  <c r="BU51" i="8" s="1"/>
  <c r="I27" i="8"/>
  <c r="BE39" i="8" s="1"/>
  <c r="BV27" i="8" s="1"/>
  <c r="F25" i="8"/>
  <c r="BD37" i="8" s="1"/>
  <c r="BU25" i="8" s="1"/>
  <c r="Y51" i="8"/>
  <c r="BE99" i="8" s="1"/>
  <c r="BX51" i="8" s="1"/>
  <c r="V41" i="8"/>
  <c r="AX77" i="8" s="1"/>
  <c r="Y37" i="8"/>
  <c r="BE73" i="8" s="1"/>
  <c r="BX37" i="8" s="1"/>
  <c r="V39" i="8"/>
  <c r="Y27" i="8"/>
  <c r="BE51" i="8" s="1"/>
  <c r="BX27" i="8" s="1"/>
  <c r="Y13" i="8"/>
  <c r="BE25" i="8" s="1"/>
  <c r="BX13" i="8" s="1"/>
  <c r="V15" i="8"/>
  <c r="BD27" i="8" s="1"/>
  <c r="BW15" i="8" s="1"/>
  <c r="P21" i="8"/>
  <c r="B55" i="8"/>
  <c r="R55" i="8" s="1"/>
  <c r="B53" i="8"/>
  <c r="R53" i="8" s="1"/>
  <c r="B51" i="8"/>
  <c r="R51" i="8" s="1"/>
  <c r="B49" i="8"/>
  <c r="R49" i="8" s="1"/>
  <c r="B47" i="8"/>
  <c r="R47" i="8" s="1"/>
  <c r="B45" i="8"/>
  <c r="R45" i="8" s="1"/>
  <c r="B35" i="8"/>
  <c r="R35" i="8" s="1"/>
  <c r="B31" i="8"/>
  <c r="R31" i="8" s="1"/>
  <c r="B29" i="8"/>
  <c r="R29" i="8" s="1"/>
  <c r="B27" i="8"/>
  <c r="R27" i="8" s="1"/>
  <c r="B25" i="8"/>
  <c r="R25" i="8" s="1"/>
  <c r="B23" i="8"/>
  <c r="R23" i="8" s="1"/>
  <c r="B11" i="8"/>
  <c r="R11" i="8" s="1"/>
  <c r="B56" i="8"/>
  <c r="R56" i="8" s="1"/>
  <c r="B52" i="8"/>
  <c r="R52" i="8" s="1"/>
  <c r="B36" i="8"/>
  <c r="R36" i="8" s="1"/>
  <c r="B30" i="8"/>
  <c r="R30" i="8" s="1"/>
  <c r="B54" i="8"/>
  <c r="R54" i="8" s="1"/>
  <c r="B50" i="8"/>
  <c r="R50" i="8" s="1"/>
  <c r="B46" i="8"/>
  <c r="R46" i="8" s="1"/>
  <c r="B33" i="8"/>
  <c r="R33" i="8" s="1"/>
  <c r="B32" i="8"/>
  <c r="R32" i="8" s="1"/>
  <c r="B28" i="8"/>
  <c r="R28" i="8" s="1"/>
  <c r="B24" i="8"/>
  <c r="R24" i="8" s="1"/>
  <c r="B48" i="8"/>
  <c r="R48" i="8" s="1"/>
  <c r="B26" i="8"/>
  <c r="R26" i="8" s="1"/>
  <c r="B12" i="8"/>
  <c r="R12" i="8" s="1"/>
  <c r="AC33" i="8"/>
  <c r="Y23" i="8" s="1"/>
  <c r="M28" i="10"/>
  <c r="M26" i="10"/>
  <c r="V48" i="8"/>
  <c r="B38" i="8"/>
  <c r="R38" i="8" s="1"/>
  <c r="B18" i="8"/>
  <c r="R18" i="8" s="1"/>
  <c r="AC40" i="8"/>
  <c r="I41" i="8" s="1"/>
  <c r="K56" i="8"/>
  <c r="M21" i="10"/>
  <c r="B10" i="8"/>
  <c r="R10" i="8" s="1"/>
  <c r="AC17" i="8"/>
  <c r="AC61" i="8"/>
  <c r="M6" i="10"/>
  <c r="BB39" i="8"/>
  <c r="X15" i="10"/>
  <c r="B41" i="8"/>
  <c r="R41" i="8" s="1"/>
  <c r="M28" i="8"/>
  <c r="B26" i="10"/>
  <c r="M21" i="8"/>
  <c r="AC45" i="8"/>
  <c r="AC26" i="8"/>
  <c r="AC52" i="8"/>
  <c r="AC11" i="8"/>
  <c r="B21" i="8"/>
  <c r="R21" i="8" s="1"/>
  <c r="B13" i="8"/>
  <c r="R13" i="8" s="1"/>
  <c r="L49" i="8"/>
  <c r="Y7" i="8"/>
  <c r="B34" i="10"/>
  <c r="A45" i="8"/>
  <c r="O14" i="8"/>
  <c r="V24" i="8"/>
  <c r="AV37" i="8"/>
  <c r="F47" i="8"/>
  <c r="V18" i="8"/>
  <c r="V42" i="8"/>
  <c r="Y45" i="8"/>
  <c r="I32" i="8"/>
  <c r="I44" i="8"/>
  <c r="I55" i="8"/>
  <c r="I46" i="8"/>
  <c r="I12" i="8"/>
  <c r="BE12" i="8" s="1"/>
  <c r="BV12" i="8" s="1"/>
  <c r="AZ82" i="8"/>
  <c r="V7" i="8"/>
  <c r="K49" i="8"/>
  <c r="N56" i="8"/>
  <c r="X20" i="10"/>
  <c r="AB37" i="10" s="1"/>
  <c r="X19" i="10"/>
  <c r="R37" i="10" s="1"/>
  <c r="X12" i="10"/>
  <c r="AZ18" i="8"/>
  <c r="F30" i="8"/>
  <c r="AX42" i="8" s="1"/>
  <c r="F53" i="8"/>
  <c r="V34" i="8"/>
  <c r="BD41" i="8"/>
  <c r="BU29" i="8" s="1"/>
  <c r="AX41" i="8"/>
  <c r="Y10" i="8"/>
  <c r="AZ22" i="8" s="1"/>
  <c r="V29" i="8"/>
  <c r="BD53" i="8" s="1"/>
  <c r="BW29" i="8" s="1"/>
  <c r="AX75" i="8"/>
  <c r="Y56" i="8"/>
  <c r="AZ104" i="8" s="1"/>
  <c r="V53" i="8"/>
  <c r="BD101" i="8" s="1"/>
  <c r="BW53" i="8" s="1"/>
  <c r="F24" i="8"/>
  <c r="AV36" i="8" s="1"/>
  <c r="I21" i="8"/>
  <c r="I33" i="8"/>
  <c r="F54" i="8"/>
  <c r="BB85" i="8"/>
  <c r="F10" i="8"/>
  <c r="F20" i="8"/>
  <c r="AV20" i="8" s="1"/>
  <c r="I31" i="8"/>
  <c r="BE43" i="8" s="1"/>
  <c r="BV31" i="8" s="1"/>
  <c r="I22" i="8"/>
  <c r="BE34" i="8" s="1"/>
  <c r="BV22" i="8" s="1"/>
  <c r="F23" i="8"/>
  <c r="BD35" i="8" s="1"/>
  <c r="BU23" i="8" s="1"/>
  <c r="Y33" i="8"/>
  <c r="BE69" i="8" s="1"/>
  <c r="BX33" i="8" s="1"/>
  <c r="V36" i="8"/>
  <c r="BD72" i="8" s="1"/>
  <c r="BW36" i="8" s="1"/>
  <c r="Y44" i="8"/>
  <c r="BE80" i="8" s="1"/>
  <c r="BX44" i="8" s="1"/>
  <c r="Y22" i="8"/>
  <c r="BE46" i="8" s="1"/>
  <c r="BX22" i="8" s="1"/>
  <c r="Y9" i="8"/>
  <c r="BE21" i="8" s="1"/>
  <c r="BX9" i="8" s="1"/>
  <c r="Y20" i="8"/>
  <c r="BE32" i="8" s="1"/>
  <c r="BX20" i="8" s="1"/>
  <c r="V12" i="8"/>
  <c r="BD24" i="8" s="1"/>
  <c r="BW12" i="8" s="1"/>
  <c r="Y29" i="8"/>
  <c r="BB53" i="8" s="1"/>
  <c r="I20" i="8"/>
  <c r="BE20" i="8" s="1"/>
  <c r="BV20" i="8" s="1"/>
  <c r="I56" i="8"/>
  <c r="BE92" i="8" s="1"/>
  <c r="BV56" i="8" s="1"/>
  <c r="AZ85" i="8"/>
  <c r="V17" i="8"/>
  <c r="BD29" i="8" s="1"/>
  <c r="BW17" i="8" s="1"/>
  <c r="V54" i="8"/>
  <c r="BD102" i="8" s="1"/>
  <c r="BW54" i="8" s="1"/>
  <c r="I45" i="8"/>
  <c r="BE81" i="8" s="1"/>
  <c r="BV45" i="8" s="1"/>
  <c r="V21" i="8"/>
  <c r="BD45" i="8" s="1"/>
  <c r="BW21" i="8" s="1"/>
  <c r="AL38" i="10"/>
  <c r="B38" i="10" s="1"/>
  <c r="AL37" i="10"/>
  <c r="B37" i="10" s="1"/>
  <c r="BD75" i="8"/>
  <c r="BW39" i="8" s="1"/>
  <c r="BE104" i="8"/>
  <c r="BX56" i="8" s="1"/>
  <c r="AV27" i="8"/>
  <c r="AV41" i="8"/>
  <c r="AX27" i="8"/>
  <c r="B33" i="10"/>
  <c r="P35" i="8"/>
  <c r="L28" i="8"/>
  <c r="B20" i="10"/>
  <c r="K14" i="8"/>
  <c r="BE13" i="8"/>
  <c r="BV13" i="8" s="1"/>
  <c r="J3" i="10"/>
  <c r="I18" i="10"/>
  <c r="B25" i="10"/>
  <c r="R34" i="10"/>
  <c r="N14" i="8"/>
  <c r="O28" i="8"/>
  <c r="N49" i="8"/>
  <c r="M7" i="8"/>
  <c r="Z9" i="8"/>
  <c r="X13" i="10"/>
  <c r="B29" i="10"/>
  <c r="B22" i="10"/>
  <c r="AE12" i="10"/>
  <c r="Q14" i="10"/>
  <c r="B18" i="10"/>
  <c r="A5" i="8"/>
  <c r="P28" i="8"/>
  <c r="M42" i="8"/>
  <c r="O49" i="8"/>
  <c r="L35" i="8"/>
  <c r="N7" i="8"/>
  <c r="K21" i="8"/>
  <c r="A21" i="8"/>
  <c r="B7" i="8"/>
  <c r="M22" i="10"/>
  <c r="B30" i="10"/>
  <c r="X6" i="10"/>
  <c r="Z45" i="8"/>
  <c r="N21" i="8"/>
  <c r="O56" i="8"/>
  <c r="B17" i="8"/>
  <c r="R17" i="8" s="1"/>
  <c r="B9" i="8"/>
  <c r="R9" i="8" s="1"/>
  <c r="B37" i="8"/>
  <c r="R37" i="8" s="1"/>
  <c r="AC12" i="8"/>
  <c r="M18" i="10"/>
  <c r="AC54" i="8"/>
  <c r="AC38" i="8"/>
  <c r="AC24" i="8"/>
  <c r="AC59" i="8"/>
  <c r="AC47" i="8"/>
  <c r="AC31" i="8"/>
  <c r="AC19" i="8"/>
  <c r="B14" i="8"/>
  <c r="R14" i="8" s="1"/>
  <c r="B22" i="8"/>
  <c r="R22" i="8" s="1"/>
  <c r="B42" i="8"/>
  <c r="R42" i="8" s="1"/>
  <c r="B34" i="8"/>
  <c r="R34" i="8" s="1"/>
  <c r="M15" i="10"/>
  <c r="L14" i="8"/>
  <c r="BD12" i="8" l="1"/>
  <c r="BU12" i="8" s="1"/>
  <c r="AX12" i="8"/>
  <c r="AV12" i="8"/>
  <c r="BE27" i="8"/>
  <c r="BX15" i="8" s="1"/>
  <c r="BB27" i="8"/>
  <c r="V31" i="8"/>
  <c r="AV71" i="8"/>
  <c r="AX71" i="8"/>
  <c r="I9" i="8"/>
  <c r="BE9" i="8" s="1"/>
  <c r="BV9" i="8" s="1"/>
  <c r="F42" i="8"/>
  <c r="BD66" i="8" s="1"/>
  <c r="BU42" i="8" s="1"/>
  <c r="F17" i="8"/>
  <c r="BD17" i="8" s="1"/>
  <c r="BU17" i="8" s="1"/>
  <c r="I34" i="8"/>
  <c r="BE58" i="8" s="1"/>
  <c r="BV34" i="8" s="1"/>
  <c r="F36" i="8"/>
  <c r="BD60" i="8" s="1"/>
  <c r="BU36" i="8" s="1"/>
  <c r="Y34" i="8"/>
  <c r="Y32" i="8"/>
  <c r="V11" i="8"/>
  <c r="AZ39" i="8"/>
  <c r="AZ99" i="8"/>
  <c r="Y21" i="8"/>
  <c r="BB73" i="8"/>
  <c r="Y19" i="8"/>
  <c r="Y43" i="8"/>
  <c r="AX25" i="8"/>
  <c r="I39" i="8"/>
  <c r="F15" i="8"/>
  <c r="BE53" i="8"/>
  <c r="BX29" i="8" s="1"/>
  <c r="BD39" i="8"/>
  <c r="BU27" i="8" s="1"/>
  <c r="AX39" i="8"/>
  <c r="AV39" i="8"/>
  <c r="AZ25" i="8"/>
  <c r="I16" i="8"/>
  <c r="BB18" i="8"/>
  <c r="BE18" i="8"/>
  <c r="BV18" i="8" s="1"/>
  <c r="AV101" i="8"/>
  <c r="BE22" i="8"/>
  <c r="BX10" i="8" s="1"/>
  <c r="BB22" i="8"/>
  <c r="V47" i="8"/>
  <c r="BD95" i="8" s="1"/>
  <c r="BW47" i="8" s="1"/>
  <c r="V23" i="8"/>
  <c r="BD47" i="8" s="1"/>
  <c r="BW23" i="8" s="1"/>
  <c r="AV87" i="8"/>
  <c r="AV25" i="8"/>
  <c r="AZ61" i="8"/>
  <c r="V30" i="8"/>
  <c r="BD54" i="8" s="1"/>
  <c r="BW30" i="8" s="1"/>
  <c r="Y55" i="8"/>
  <c r="BE103" i="8" s="1"/>
  <c r="BX55" i="8" s="1"/>
  <c r="F35" i="8"/>
  <c r="BD59" i="8" s="1"/>
  <c r="BU35" i="8" s="1"/>
  <c r="I43" i="8"/>
  <c r="BE67" i="8" s="1"/>
  <c r="BV43" i="8" s="1"/>
  <c r="AV73" i="8"/>
  <c r="BB51" i="8"/>
  <c r="V25" i="8"/>
  <c r="V49" i="8"/>
  <c r="AV97" i="8" s="1"/>
  <c r="BB61" i="8"/>
  <c r="V16" i="8"/>
  <c r="BD28" i="8" s="1"/>
  <c r="BW16" i="8" s="1"/>
  <c r="Y14" i="8"/>
  <c r="AZ26" i="8" s="1"/>
  <c r="Y38" i="8"/>
  <c r="BE74" i="8" s="1"/>
  <c r="BX38" i="8" s="1"/>
  <c r="V40" i="8"/>
  <c r="AX76" i="8" s="1"/>
  <c r="I28" i="8"/>
  <c r="F26" i="8"/>
  <c r="BD38" i="8" s="1"/>
  <c r="BU26" i="8" s="1"/>
  <c r="I50" i="8"/>
  <c r="AZ86" i="8" s="1"/>
  <c r="F52" i="8"/>
  <c r="BD88" i="8" s="1"/>
  <c r="BU52" i="8" s="1"/>
  <c r="I14" i="8"/>
  <c r="F16" i="8"/>
  <c r="AV10" i="8"/>
  <c r="BD10" i="8"/>
  <c r="BU10" i="8" s="1"/>
  <c r="AX90" i="8"/>
  <c r="BD90" i="8"/>
  <c r="BU54" i="8" s="1"/>
  <c r="AV23" i="8"/>
  <c r="BD23" i="8"/>
  <c r="BW11" i="8" s="1"/>
  <c r="AX89" i="8"/>
  <c r="BD89" i="8"/>
  <c r="BU53" i="8" s="1"/>
  <c r="BB82" i="8"/>
  <c r="BE82" i="8"/>
  <c r="BV46" i="8" s="1"/>
  <c r="AZ91" i="8"/>
  <c r="BE91" i="8"/>
  <c r="BV55" i="8" s="1"/>
  <c r="BB44" i="8"/>
  <c r="BE44" i="8"/>
  <c r="BV32" i="8" s="1"/>
  <c r="BB45" i="8"/>
  <c r="BE45" i="8"/>
  <c r="BX21" i="8" s="1"/>
  <c r="AX30" i="8"/>
  <c r="BD30" i="8"/>
  <c r="BW18" i="8" s="1"/>
  <c r="AX48" i="8"/>
  <c r="BD48" i="8"/>
  <c r="BW24" i="8" s="1"/>
  <c r="BE86" i="8"/>
  <c r="BV50" i="8" s="1"/>
  <c r="I52" i="8"/>
  <c r="F50" i="8"/>
  <c r="Y40" i="8"/>
  <c r="V38" i="8"/>
  <c r="V20" i="8"/>
  <c r="Y16" i="8"/>
  <c r="V14" i="8"/>
  <c r="F33" i="8"/>
  <c r="AV57" i="8" s="1"/>
  <c r="F40" i="8"/>
  <c r="I38" i="8"/>
  <c r="AV77" i="8"/>
  <c r="BD77" i="8"/>
  <c r="BW41" i="8" s="1"/>
  <c r="AX84" i="8"/>
  <c r="BD84" i="8"/>
  <c r="BU48" i="8" s="1"/>
  <c r="AX87" i="8"/>
  <c r="V26" i="8"/>
  <c r="AV50" i="8" s="1"/>
  <c r="Y28" i="8"/>
  <c r="BE52" i="8" s="1"/>
  <c r="BX28" i="8" s="1"/>
  <c r="Y52" i="8"/>
  <c r="BE100" i="8" s="1"/>
  <c r="BX52" i="8" s="1"/>
  <c r="V50" i="8"/>
  <c r="BD98" i="8" s="1"/>
  <c r="BW50" i="8" s="1"/>
  <c r="F38" i="8"/>
  <c r="AX62" i="8" s="1"/>
  <c r="I40" i="8"/>
  <c r="AZ64" i="8" s="1"/>
  <c r="AX20" i="8"/>
  <c r="BD20" i="8"/>
  <c r="BU20" i="8" s="1"/>
  <c r="AZ57" i="8"/>
  <c r="BE57" i="8"/>
  <c r="BV33" i="8" s="1"/>
  <c r="AZ33" i="8"/>
  <c r="BE33" i="8"/>
  <c r="BV21" i="8" s="1"/>
  <c r="AV70" i="8"/>
  <c r="BD70" i="8"/>
  <c r="BW34" i="8" s="1"/>
  <c r="AV42" i="8"/>
  <c r="BD42" i="8"/>
  <c r="BU30" i="8" s="1"/>
  <c r="AZ68" i="8"/>
  <c r="BE68" i="8"/>
  <c r="BV44" i="8" s="1"/>
  <c r="BB93" i="8"/>
  <c r="BE93" i="8"/>
  <c r="BX45" i="8" s="1"/>
  <c r="AV78" i="8"/>
  <c r="BD78" i="8"/>
  <c r="BW42" i="8" s="1"/>
  <c r="AX83" i="8"/>
  <c r="BD83" i="8"/>
  <c r="BU47" i="8" s="1"/>
  <c r="AZ31" i="8"/>
  <c r="BE31" i="8"/>
  <c r="BX19" i="8" s="1"/>
  <c r="F18" i="8"/>
  <c r="AV18" i="8" s="1"/>
  <c r="I15" i="8"/>
  <c r="BE15" i="8" s="1"/>
  <c r="BV15" i="8" s="1"/>
  <c r="F13" i="8"/>
  <c r="BD13" i="8" s="1"/>
  <c r="BU13" i="8" s="1"/>
  <c r="I23" i="8"/>
  <c r="AZ35" i="8" s="1"/>
  <c r="F28" i="8"/>
  <c r="I26" i="8"/>
  <c r="BB79" i="8"/>
  <c r="BE79" i="8"/>
  <c r="BX43" i="8" s="1"/>
  <c r="Y47" i="8"/>
  <c r="Y50" i="8"/>
  <c r="V52" i="8"/>
  <c r="AX96" i="8"/>
  <c r="BD96" i="8"/>
  <c r="BW48" i="8" s="1"/>
  <c r="V28" i="8"/>
  <c r="Y26" i="8"/>
  <c r="BB55" i="8"/>
  <c r="BE55" i="8"/>
  <c r="BX31" i="8" s="1"/>
  <c r="BB94" i="8"/>
  <c r="BE94" i="8"/>
  <c r="BX46" i="8" s="1"/>
  <c r="AX65" i="8"/>
  <c r="BD65" i="8"/>
  <c r="BU41" i="8" s="1"/>
  <c r="I29" i="8"/>
  <c r="BB41" i="8" s="1"/>
  <c r="F56" i="8"/>
  <c r="AV92" i="8" s="1"/>
  <c r="I54" i="8"/>
  <c r="BE90" i="8" s="1"/>
  <c r="BV54" i="8" s="1"/>
  <c r="Y12" i="8"/>
  <c r="AZ24" i="8" s="1"/>
  <c r="Y18" i="8"/>
  <c r="BB30" i="8" s="1"/>
  <c r="V10" i="8"/>
  <c r="AX22" i="8" s="1"/>
  <c r="I35" i="8"/>
  <c r="AZ59" i="8" s="1"/>
  <c r="F43" i="8"/>
  <c r="AX67" i="8" s="1"/>
  <c r="AX37" i="8"/>
  <c r="F21" i="8"/>
  <c r="BD33" i="8" s="1"/>
  <c r="BU21" i="8" s="1"/>
  <c r="BB13" i="8"/>
  <c r="AV96" i="8"/>
  <c r="I19" i="8"/>
  <c r="BE19" i="8" s="1"/>
  <c r="BV19" i="8" s="1"/>
  <c r="BD15" i="8"/>
  <c r="BU15" i="8" s="1"/>
  <c r="AZ27" i="8"/>
  <c r="AX73" i="8"/>
  <c r="AV89" i="8"/>
  <c r="AV48" i="8"/>
  <c r="AZ44" i="8"/>
  <c r="Y53" i="8"/>
  <c r="BB101" i="8" s="1"/>
  <c r="BB25" i="8"/>
  <c r="I48" i="8"/>
  <c r="BE84" i="8" s="1"/>
  <c r="BV48" i="8" s="1"/>
  <c r="V45" i="8"/>
  <c r="V55" i="8"/>
  <c r="AV103" i="8" s="1"/>
  <c r="V44" i="8"/>
  <c r="BD80" i="8" s="1"/>
  <c r="BW44" i="8" s="1"/>
  <c r="BB91" i="8"/>
  <c r="AV30" i="8"/>
  <c r="Y42" i="8"/>
  <c r="BB78" i="8" s="1"/>
  <c r="F46" i="8"/>
  <c r="AV82" i="8" s="1"/>
  <c r="Y36" i="8"/>
  <c r="AZ72" i="8" s="1"/>
  <c r="AZ79" i="8"/>
  <c r="BB57" i="8"/>
  <c r="AV83" i="8"/>
  <c r="AX78" i="8"/>
  <c r="AZ73" i="8"/>
  <c r="F11" i="8"/>
  <c r="BD11" i="8" s="1"/>
  <c r="BU11" i="8" s="1"/>
  <c r="F31" i="8"/>
  <c r="AV43" i="8" s="1"/>
  <c r="I10" i="8"/>
  <c r="BE10" i="8" s="1"/>
  <c r="BV10" i="8" s="1"/>
  <c r="BB104" i="8"/>
  <c r="AV90" i="8"/>
  <c r="AZ93" i="8"/>
  <c r="BB31" i="8"/>
  <c r="BB68" i="8"/>
  <c r="AZ51" i="8"/>
  <c r="AX70" i="8"/>
  <c r="AZ53" i="8"/>
  <c r="AX53" i="8"/>
  <c r="AV75" i="8"/>
  <c r="AX101" i="8"/>
  <c r="AV53" i="8"/>
  <c r="BB33" i="8"/>
  <c r="AX23" i="8"/>
  <c r="BB56" i="8"/>
  <c r="AZ70" i="8"/>
  <c r="AX10" i="8"/>
  <c r="AZ45" i="8"/>
  <c r="BB99" i="8"/>
  <c r="BB12" i="8"/>
  <c r="AZ12" i="8"/>
  <c r="AX61" i="8"/>
  <c r="AV61" i="8"/>
  <c r="AV60" i="8"/>
  <c r="AX60" i="8"/>
  <c r="BD36" i="8"/>
  <c r="BU24" i="8" s="1"/>
  <c r="AX36" i="8"/>
  <c r="BB9" i="8"/>
  <c r="AZ9" i="8"/>
  <c r="AZ81" i="8"/>
  <c r="BB81" i="8"/>
  <c r="AV66" i="8"/>
  <c r="AX66" i="8"/>
  <c r="AX95" i="8"/>
  <c r="BB75" i="8"/>
  <c r="AZ75" i="8"/>
  <c r="AV51" i="8"/>
  <c r="AX51" i="8"/>
  <c r="AX85" i="8"/>
  <c r="AV85" i="8"/>
  <c r="AZ87" i="8"/>
  <c r="BB87" i="8"/>
  <c r="BE65" i="8"/>
  <c r="BV41" i="8" s="1"/>
  <c r="BB65" i="8"/>
  <c r="AZ65" i="8"/>
  <c r="AX103" i="8"/>
  <c r="BE47" i="8"/>
  <c r="BX23" i="8" s="1"/>
  <c r="AZ47" i="8"/>
  <c r="BB47" i="8"/>
  <c r="AV24" i="8"/>
  <c r="AX24" i="8"/>
  <c r="AZ21" i="8"/>
  <c r="BB21" i="8"/>
  <c r="AX54" i="8"/>
  <c r="AV54" i="8"/>
  <c r="BB80" i="8"/>
  <c r="AZ80" i="8"/>
  <c r="AZ69" i="8"/>
  <c r="BB69" i="8"/>
  <c r="BB103" i="8"/>
  <c r="AV35" i="8"/>
  <c r="AX35" i="8"/>
  <c r="BB43" i="8"/>
  <c r="AZ43" i="8"/>
  <c r="AZ58" i="8"/>
  <c r="BB58" i="8"/>
  <c r="AV45" i="8"/>
  <c r="AX45" i="8"/>
  <c r="BE59" i="8"/>
  <c r="BV35" i="8" s="1"/>
  <c r="AV63" i="8"/>
  <c r="AX63" i="8"/>
  <c r="AZ37" i="8"/>
  <c r="BB37" i="8"/>
  <c r="AX102" i="8"/>
  <c r="AV102" i="8"/>
  <c r="AX47" i="8"/>
  <c r="AV47" i="8"/>
  <c r="AV29" i="8"/>
  <c r="AX29" i="8"/>
  <c r="AZ92" i="8"/>
  <c r="BB92" i="8"/>
  <c r="AX17" i="8"/>
  <c r="AV17" i="8"/>
  <c r="AZ20" i="8"/>
  <c r="BB20" i="8"/>
  <c r="AZ100" i="8"/>
  <c r="BB32" i="8"/>
  <c r="AZ32" i="8"/>
  <c r="BB46" i="8"/>
  <c r="AZ46" i="8"/>
  <c r="AZ49" i="8"/>
  <c r="BB49" i="8"/>
  <c r="AV72" i="8"/>
  <c r="AX72" i="8"/>
  <c r="AV99" i="8"/>
  <c r="AX99" i="8"/>
  <c r="BB97" i="8"/>
  <c r="AZ97" i="8"/>
  <c r="BB34" i="8"/>
  <c r="AZ34" i="8"/>
  <c r="AX59" i="8"/>
  <c r="AV59" i="8"/>
  <c r="AZ67" i="8"/>
  <c r="AO7" i="10"/>
  <c r="BD22" i="8"/>
  <c r="BW10" i="8" s="1"/>
  <c r="BD55" i="8"/>
  <c r="BW31" i="8" s="1"/>
  <c r="AV55" i="8"/>
  <c r="AX55" i="8"/>
  <c r="BD50" i="8"/>
  <c r="BW26" i="8" s="1"/>
  <c r="AX50" i="8"/>
  <c r="Y30" i="8"/>
  <c r="Y24" i="8"/>
  <c r="V32" i="8"/>
  <c r="V22" i="8"/>
  <c r="I42" i="8"/>
  <c r="I36" i="8"/>
  <c r="F44" i="8"/>
  <c r="F34" i="8"/>
  <c r="Y54" i="8"/>
  <c r="Y48" i="8"/>
  <c r="V56" i="8"/>
  <c r="V46" i="8"/>
  <c r="Y11" i="8"/>
  <c r="V9" i="8"/>
  <c r="Y17" i="8"/>
  <c r="V19" i="8"/>
  <c r="Y41" i="8"/>
  <c r="Y35" i="8"/>
  <c r="V43" i="8"/>
  <c r="V33" i="8"/>
  <c r="I30" i="8"/>
  <c r="I24" i="8"/>
  <c r="F32" i="8"/>
  <c r="F22" i="8"/>
  <c r="I53" i="8"/>
  <c r="I47" i="8"/>
  <c r="F55" i="8"/>
  <c r="F45" i="8"/>
  <c r="I17" i="8"/>
  <c r="I11" i="8"/>
  <c r="F19" i="8"/>
  <c r="F9" i="8"/>
  <c r="BE26" i="8"/>
  <c r="BX14" i="8" s="1"/>
  <c r="BB26" i="8"/>
  <c r="AZ30" i="8" l="1"/>
  <c r="AZ52" i="8"/>
  <c r="BE63" i="8"/>
  <c r="BV39" i="8" s="1"/>
  <c r="AZ63" i="8"/>
  <c r="BB63" i="8"/>
  <c r="BB70" i="8"/>
  <c r="BE70" i="8"/>
  <c r="BX34" i="8" s="1"/>
  <c r="AZ56" i="8"/>
  <c r="BE56" i="8"/>
  <c r="BX32" i="8" s="1"/>
  <c r="BB15" i="8"/>
  <c r="BB64" i="8"/>
  <c r="BD76" i="8"/>
  <c r="BW40" i="8" s="1"/>
  <c r="BB84" i="8"/>
  <c r="AV62" i="8"/>
  <c r="AZ74" i="8"/>
  <c r="BB86" i="8"/>
  <c r="AV28" i="8"/>
  <c r="BD97" i="8"/>
  <c r="BW49" i="8" s="1"/>
  <c r="AX97" i="8"/>
  <c r="BE30" i="8"/>
  <c r="BX18" i="8" s="1"/>
  <c r="BB52" i="8"/>
  <c r="BB67" i="8"/>
  <c r="BD67" i="8"/>
  <c r="BU43" i="8" s="1"/>
  <c r="AZ15" i="8"/>
  <c r="AZ103" i="8"/>
  <c r="BE64" i="8"/>
  <c r="BV40" i="8" s="1"/>
  <c r="AV95" i="8"/>
  <c r="BD82" i="8"/>
  <c r="BU46" i="8" s="1"/>
  <c r="BE41" i="8"/>
  <c r="BV29" i="8" s="1"/>
  <c r="BB74" i="8"/>
  <c r="AX49" i="8"/>
  <c r="AV49" i="8"/>
  <c r="BD49" i="8"/>
  <c r="BW25" i="8" s="1"/>
  <c r="BE24" i="8"/>
  <c r="BX12" i="8" s="1"/>
  <c r="AV22" i="8"/>
  <c r="BB100" i="8"/>
  <c r="AX13" i="8"/>
  <c r="BD62" i="8"/>
  <c r="BU38" i="8" s="1"/>
  <c r="AV76" i="8"/>
  <c r="AV13" i="8"/>
  <c r="BE78" i="8"/>
  <c r="BX42" i="8" s="1"/>
  <c r="BE72" i="8"/>
  <c r="BX36" i="8" s="1"/>
  <c r="AZ19" i="8"/>
  <c r="AX92" i="8"/>
  <c r="BD92" i="8"/>
  <c r="BU56" i="8" s="1"/>
  <c r="BB95" i="8"/>
  <c r="BE95" i="8"/>
  <c r="BX47" i="8" s="1"/>
  <c r="AZ95" i="8"/>
  <c r="AX18" i="8"/>
  <c r="BD18" i="8"/>
  <c r="BU18" i="8" s="1"/>
  <c r="AX57" i="8"/>
  <c r="BD57" i="8"/>
  <c r="BU33" i="8" s="1"/>
  <c r="BD16" i="8"/>
  <c r="BU16" i="8" s="1"/>
  <c r="AV16" i="8"/>
  <c r="AX16" i="8"/>
  <c r="BB35" i="8"/>
  <c r="BE35" i="8"/>
  <c r="BV23" i="8" s="1"/>
  <c r="AX32" i="8"/>
  <c r="BD32" i="8"/>
  <c r="BW20" i="8" s="1"/>
  <c r="AV32" i="8"/>
  <c r="BE14" i="8"/>
  <c r="BV14" i="8" s="1"/>
  <c r="BB14" i="8"/>
  <c r="AZ14" i="8"/>
  <c r="BE101" i="8"/>
  <c r="BX53" i="8" s="1"/>
  <c r="BD103" i="8"/>
  <c r="BW55" i="8" s="1"/>
  <c r="AX93" i="8"/>
  <c r="BD93" i="8"/>
  <c r="BW45" i="8" s="1"/>
  <c r="BB24" i="8"/>
  <c r="AV67" i="8"/>
  <c r="BB59" i="8"/>
  <c r="BB72" i="8"/>
  <c r="AZ41" i="8"/>
  <c r="BB90" i="8"/>
  <c r="AZ90" i="8"/>
  <c r="AZ101" i="8"/>
  <c r="AZ78" i="8"/>
  <c r="AX15" i="8"/>
  <c r="AZ13" i="8"/>
  <c r="BB19" i="8"/>
  <c r="AV33" i="8"/>
  <c r="AX33" i="8"/>
  <c r="AX28" i="8"/>
  <c r="AV15" i="8"/>
  <c r="AX82" i="8"/>
  <c r="AV88" i="8"/>
  <c r="AV93" i="8"/>
  <c r="AZ84" i="8"/>
  <c r="AX80" i="8"/>
  <c r="AV80" i="8"/>
  <c r="AX88" i="8"/>
  <c r="AX98" i="8"/>
  <c r="AV98" i="8"/>
  <c r="BE40" i="8"/>
  <c r="BV28" i="8" s="1"/>
  <c r="BB40" i="8"/>
  <c r="AV11" i="8"/>
  <c r="AX11" i="8"/>
  <c r="AZ40" i="8"/>
  <c r="AZ10" i="8"/>
  <c r="BB10" i="8"/>
  <c r="BD43" i="8"/>
  <c r="BU31" i="8" s="1"/>
  <c r="AX43" i="8"/>
  <c r="AV38" i="8"/>
  <c r="AX38" i="8"/>
  <c r="AN8" i="10"/>
  <c r="AN10" i="10"/>
  <c r="AN7" i="10"/>
  <c r="AN9" i="10"/>
  <c r="AN14" i="10"/>
  <c r="AN11" i="10"/>
  <c r="AN13" i="10"/>
  <c r="AN12" i="10"/>
  <c r="AX9" i="8"/>
  <c r="BD9" i="8"/>
  <c r="BU9" i="8" s="1"/>
  <c r="AV9" i="8"/>
  <c r="BE11" i="8"/>
  <c r="BV11" i="8" s="1"/>
  <c r="BB11" i="8"/>
  <c r="AZ11" i="8"/>
  <c r="BD14" i="8"/>
  <c r="BU14" i="8" s="1"/>
  <c r="AV14" i="8"/>
  <c r="AX14" i="8"/>
  <c r="AX81" i="8"/>
  <c r="BD81" i="8"/>
  <c r="BU45" i="8" s="1"/>
  <c r="AV81" i="8"/>
  <c r="BB83" i="8"/>
  <c r="BE83" i="8"/>
  <c r="BV47" i="8" s="1"/>
  <c r="AZ83" i="8"/>
  <c r="BD34" i="8"/>
  <c r="BU22" i="8" s="1"/>
  <c r="AV34" i="8"/>
  <c r="AX34" i="8"/>
  <c r="AV44" i="8"/>
  <c r="BD44" i="8"/>
  <c r="BU32" i="8" s="1"/>
  <c r="AX44" i="8"/>
  <c r="BE38" i="8"/>
  <c r="BV26" i="8" s="1"/>
  <c r="AZ38" i="8"/>
  <c r="BB38" i="8"/>
  <c r="BD69" i="8"/>
  <c r="BW33" i="8" s="1"/>
  <c r="AV69" i="8"/>
  <c r="AX69" i="8"/>
  <c r="BE71" i="8"/>
  <c r="BX35" i="8" s="1"/>
  <c r="AZ71" i="8"/>
  <c r="BB71" i="8"/>
  <c r="BD74" i="8"/>
  <c r="BW38" i="8" s="1"/>
  <c r="AX74" i="8"/>
  <c r="AV74" i="8"/>
  <c r="BD31" i="8"/>
  <c r="BW19" i="8" s="1"/>
  <c r="AV31" i="8"/>
  <c r="AX31" i="8"/>
  <c r="AX21" i="8"/>
  <c r="BD21" i="8"/>
  <c r="BW9" i="8" s="1"/>
  <c r="AV21" i="8"/>
  <c r="BD26" i="8"/>
  <c r="BW14" i="8" s="1"/>
  <c r="AV26" i="8"/>
  <c r="AX26" i="8"/>
  <c r="BD94" i="8"/>
  <c r="BW46" i="8" s="1"/>
  <c r="AV94" i="8"/>
  <c r="AX94" i="8"/>
  <c r="BD104" i="8"/>
  <c r="BW56" i="8" s="1"/>
  <c r="AV104" i="8"/>
  <c r="AX104" i="8"/>
  <c r="BE98" i="8"/>
  <c r="BX50" i="8" s="1"/>
  <c r="AZ98" i="8"/>
  <c r="BB98" i="8"/>
  <c r="AX58" i="8"/>
  <c r="BD58" i="8"/>
  <c r="BU34" i="8" s="1"/>
  <c r="AV58" i="8"/>
  <c r="BD68" i="8"/>
  <c r="BU44" i="8" s="1"/>
  <c r="AX68" i="8"/>
  <c r="AV68" i="8"/>
  <c r="BE62" i="8"/>
  <c r="BV38" i="8" s="1"/>
  <c r="BB62" i="8"/>
  <c r="AZ62" i="8"/>
  <c r="BD46" i="8"/>
  <c r="BW22" i="8" s="1"/>
  <c r="AV46" i="8"/>
  <c r="AX46" i="8"/>
  <c r="BD56" i="8"/>
  <c r="BW32" i="8" s="1"/>
  <c r="AV56" i="8"/>
  <c r="AX56" i="8"/>
  <c r="BE50" i="8"/>
  <c r="BX26" i="8" s="1"/>
  <c r="AZ50" i="8"/>
  <c r="BB50" i="8"/>
  <c r="AV19" i="8"/>
  <c r="BD19" i="8"/>
  <c r="BU19" i="8" s="1"/>
  <c r="AX19" i="8"/>
  <c r="AZ17" i="8"/>
  <c r="BE17" i="8"/>
  <c r="BV17" i="8" s="1"/>
  <c r="BB17" i="8"/>
  <c r="BB16" i="8"/>
  <c r="BE16" i="8"/>
  <c r="BV16" i="8" s="1"/>
  <c r="AZ16" i="8"/>
  <c r="BE88" i="8"/>
  <c r="BV52" i="8" s="1"/>
  <c r="AZ88" i="8"/>
  <c r="BB88" i="8"/>
  <c r="BD86" i="8"/>
  <c r="BU50" i="8" s="1"/>
  <c r="AV86" i="8"/>
  <c r="AX86" i="8"/>
  <c r="BD91" i="8"/>
  <c r="BU55" i="8" s="1"/>
  <c r="AV91" i="8"/>
  <c r="AX91" i="8"/>
  <c r="BE89" i="8"/>
  <c r="BV53" i="8" s="1"/>
  <c r="AZ89" i="8"/>
  <c r="BB89" i="8"/>
  <c r="BD40" i="8"/>
  <c r="BU28" i="8" s="1"/>
  <c r="AX40" i="8"/>
  <c r="AV40" i="8"/>
  <c r="BE36" i="8"/>
  <c r="BV24" i="8" s="1"/>
  <c r="BB36" i="8"/>
  <c r="AZ36" i="8"/>
  <c r="BE42" i="8"/>
  <c r="BV30" i="8" s="1"/>
  <c r="BB42" i="8"/>
  <c r="AZ42" i="8"/>
  <c r="BD79" i="8"/>
  <c r="BW43" i="8" s="1"/>
  <c r="AX79" i="8"/>
  <c r="AV79" i="8"/>
  <c r="BE77" i="8"/>
  <c r="BX41" i="8" s="1"/>
  <c r="BB77" i="8"/>
  <c r="AZ77" i="8"/>
  <c r="BE76" i="8"/>
  <c r="BX40" i="8" s="1"/>
  <c r="BB76" i="8"/>
  <c r="AZ76" i="8"/>
  <c r="BE29" i="8"/>
  <c r="BX17" i="8" s="1"/>
  <c r="AZ29" i="8"/>
  <c r="BB29" i="8"/>
  <c r="BE23" i="8"/>
  <c r="BX11" i="8" s="1"/>
  <c r="BB23" i="8"/>
  <c r="AZ23" i="8"/>
  <c r="BE28" i="8"/>
  <c r="BX16" i="8" s="1"/>
  <c r="AZ28" i="8"/>
  <c r="BB28" i="8"/>
  <c r="BD100" i="8"/>
  <c r="BW52" i="8" s="1"/>
  <c r="AX100" i="8"/>
  <c r="AV100" i="8"/>
  <c r="BE96" i="8"/>
  <c r="BX48" i="8" s="1"/>
  <c r="BB96" i="8"/>
  <c r="AZ96" i="8"/>
  <c r="BE102" i="8"/>
  <c r="BX54" i="8" s="1"/>
  <c r="BB102" i="8"/>
  <c r="AZ102" i="8"/>
  <c r="AV64" i="8"/>
  <c r="BD64" i="8"/>
  <c r="BU40" i="8" s="1"/>
  <c r="AX64" i="8"/>
  <c r="AZ60" i="8"/>
  <c r="BE60" i="8"/>
  <c r="BV36" i="8" s="1"/>
  <c r="BB60" i="8"/>
  <c r="AZ66" i="8"/>
  <c r="BE66" i="8"/>
  <c r="BV42" i="8" s="1"/>
  <c r="BB66" i="8"/>
  <c r="BD52" i="8"/>
  <c r="BW28" i="8" s="1"/>
  <c r="AX52" i="8"/>
  <c r="AV52" i="8"/>
  <c r="BE48" i="8"/>
  <c r="BX24" i="8" s="1"/>
  <c r="BB48" i="8"/>
  <c r="AZ48" i="8"/>
  <c r="BE54" i="8"/>
  <c r="BX30" i="8" s="1"/>
  <c r="BB54" i="8"/>
  <c r="AZ54" i="8"/>
  <c r="AH31" i="8" l="1"/>
  <c r="AH38" i="8"/>
  <c r="AH17" i="8"/>
  <c r="AH61" i="8"/>
  <c r="AH60" i="8"/>
  <c r="AH46" i="8"/>
  <c r="AH51" i="8"/>
  <c r="AH37" i="8"/>
  <c r="AH33" i="8"/>
  <c r="AH40" i="8"/>
  <c r="AH25" i="8"/>
  <c r="AH23" i="8"/>
  <c r="AH32" i="8"/>
  <c r="AH9" i="8"/>
  <c r="AH59" i="8"/>
  <c r="AH47" i="8"/>
  <c r="AH24" i="8"/>
  <c r="AH12" i="8"/>
  <c r="AH26" i="8"/>
  <c r="AH39" i="8"/>
  <c r="AH10" i="8"/>
  <c r="AH18" i="8"/>
  <c r="AH16" i="8"/>
  <c r="AH45" i="8"/>
  <c r="AH11" i="8"/>
  <c r="AH52" i="8"/>
  <c r="AH44" i="8"/>
  <c r="AH30" i="8"/>
  <c r="AH58" i="8"/>
  <c r="AH53" i="8"/>
  <c r="AH19" i="8"/>
  <c r="AH54" i="8"/>
  <c r="AF33" i="8"/>
  <c r="AD52" i="8"/>
  <c r="AE61" i="8"/>
  <c r="AE45" i="8"/>
  <c r="AF61" i="8"/>
  <c r="AF26" i="8"/>
  <c r="AE52" i="8"/>
  <c r="AF40" i="8"/>
  <c r="AD40" i="8"/>
  <c r="AD33" i="8"/>
  <c r="AF11" i="8"/>
  <c r="AF51" i="8"/>
  <c r="AD51" i="8"/>
  <c r="AD25" i="8"/>
  <c r="AD60" i="8"/>
  <c r="AD44" i="8"/>
  <c r="AF16" i="8"/>
  <c r="AF10" i="8"/>
  <c r="AD53" i="8"/>
  <c r="AD37" i="8"/>
  <c r="AE37" i="8"/>
  <c r="AE58" i="8"/>
  <c r="AD46" i="8"/>
  <c r="AD30" i="8"/>
  <c r="AF9" i="8"/>
  <c r="AD39" i="8"/>
  <c r="AF25" i="8"/>
  <c r="AE60" i="8"/>
  <c r="AF32" i="8"/>
  <c r="AD10" i="8"/>
  <c r="AE53" i="8"/>
  <c r="AF23" i="8"/>
  <c r="AE46" i="8"/>
  <c r="AE18" i="8"/>
  <c r="AF17" i="8"/>
  <c r="AF45" i="8"/>
  <c r="AD26" i="8"/>
  <c r="AE33" i="8"/>
  <c r="AD17" i="8"/>
  <c r="AD11" i="8"/>
  <c r="AF52" i="8"/>
  <c r="AE26" i="8"/>
  <c r="AE17" i="8"/>
  <c r="AD45" i="8"/>
  <c r="AI45" i="8" s="1"/>
  <c r="AE40" i="8"/>
  <c r="AD61" i="8"/>
  <c r="AE11" i="8"/>
  <c r="AD9" i="8"/>
  <c r="AE51" i="8"/>
  <c r="AF39" i="8"/>
  <c r="AE25" i="8"/>
  <c r="AE44" i="8"/>
  <c r="AD32" i="8"/>
  <c r="AE32" i="8"/>
  <c r="AD16" i="8"/>
  <c r="AE10" i="8"/>
  <c r="AF53" i="8"/>
  <c r="AE23" i="8"/>
  <c r="AF58" i="8"/>
  <c r="AE30" i="8"/>
  <c r="AF18" i="8"/>
  <c r="AE9" i="8"/>
  <c r="AE39" i="8"/>
  <c r="AF60" i="8"/>
  <c r="AF44" i="8"/>
  <c r="AE16" i="8"/>
  <c r="AF37" i="8"/>
  <c r="AD23" i="8"/>
  <c r="AI23" i="8" s="1"/>
  <c r="AD58" i="8"/>
  <c r="AF46" i="8"/>
  <c r="AF30" i="8"/>
  <c r="AD18" i="8"/>
  <c r="AI18" i="8" s="1"/>
  <c r="AD31" i="8"/>
  <c r="AF38" i="8"/>
  <c r="AE59" i="8"/>
  <c r="AD19" i="8"/>
  <c r="AE19" i="8"/>
  <c r="AF47" i="8"/>
  <c r="AE47" i="8"/>
  <c r="AF24" i="8"/>
  <c r="AD24" i="8"/>
  <c r="AE54" i="8"/>
  <c r="AF54" i="8"/>
  <c r="AF12" i="8"/>
  <c r="AE31" i="8"/>
  <c r="AF31" i="8"/>
  <c r="AE38" i="8"/>
  <c r="AD38" i="8"/>
  <c r="AF59" i="8"/>
  <c r="AD59" i="8"/>
  <c r="AF19" i="8"/>
  <c r="AD47" i="8"/>
  <c r="AE24" i="8"/>
  <c r="AD54" i="8"/>
  <c r="AI54" i="8" s="1"/>
  <c r="AE12" i="8"/>
  <c r="AD12" i="8"/>
  <c r="AG31" i="8"/>
  <c r="AG38" i="8"/>
  <c r="AG59" i="8"/>
  <c r="AG19" i="8"/>
  <c r="AG12" i="8"/>
  <c r="AG61" i="8"/>
  <c r="AG40" i="8"/>
  <c r="AG39" i="8"/>
  <c r="AG53" i="8"/>
  <c r="AG46" i="8"/>
  <c r="AG44" i="8"/>
  <c r="AG33" i="8"/>
  <c r="AG45" i="8"/>
  <c r="AG9" i="8"/>
  <c r="AG16" i="8"/>
  <c r="AG58" i="8"/>
  <c r="AG25" i="8"/>
  <c r="AG47" i="8"/>
  <c r="AG24" i="8"/>
  <c r="AG54" i="8"/>
  <c r="AG26" i="8"/>
  <c r="AG52" i="8"/>
  <c r="AG32" i="8"/>
  <c r="AG23" i="8"/>
  <c r="AG51" i="8"/>
  <c r="AG30" i="8"/>
  <c r="AG11" i="8"/>
  <c r="AG17" i="8"/>
  <c r="AG60" i="8"/>
  <c r="AG37" i="8"/>
  <c r="AG18" i="8"/>
  <c r="AG10" i="8"/>
  <c r="AI61" i="8" l="1"/>
  <c r="AI58" i="8"/>
  <c r="AI12" i="8"/>
  <c r="AI47" i="8"/>
  <c r="AI59" i="8"/>
  <c r="AI38" i="8"/>
  <c r="AI37" i="8"/>
  <c r="AI19" i="8"/>
  <c r="AI9" i="8"/>
  <c r="AI11" i="8"/>
  <c r="AI10" i="8"/>
  <c r="AI39" i="8"/>
  <c r="AI30" i="8"/>
  <c r="AI44" i="8"/>
  <c r="AI25" i="8"/>
  <c r="AI33" i="8"/>
  <c r="AI52" i="8"/>
  <c r="AI24" i="8"/>
  <c r="AI31" i="8"/>
  <c r="AI16" i="8"/>
  <c r="AI32" i="8"/>
  <c r="AI17" i="8"/>
  <c r="AI26" i="8"/>
  <c r="AI46" i="8"/>
  <c r="AI53" i="8"/>
  <c r="AI60" i="8"/>
  <c r="AI51" i="8"/>
  <c r="AI40" i="8"/>
  <c r="AK58" i="8" l="1"/>
  <c r="AK47" i="8"/>
  <c r="AK38" i="8"/>
  <c r="AK40" i="8"/>
  <c r="AK60" i="8"/>
  <c r="AK46" i="8"/>
  <c r="AK17" i="8"/>
  <c r="AK16" i="8"/>
  <c r="AK24" i="8"/>
  <c r="AK51" i="8"/>
  <c r="AK53" i="8"/>
  <c r="AK26" i="8"/>
  <c r="AK32" i="8"/>
  <c r="AK31" i="8"/>
  <c r="AK52" i="8"/>
  <c r="AK25" i="8"/>
  <c r="AK30" i="8"/>
  <c r="AK10" i="8"/>
  <c r="AK9" i="8"/>
  <c r="AK23" i="8"/>
  <c r="AK18" i="8"/>
  <c r="AK33" i="8"/>
  <c r="AK44" i="8"/>
  <c r="AK37" i="8"/>
  <c r="AK39" i="8"/>
  <c r="AK11" i="8"/>
  <c r="AK45" i="8"/>
  <c r="AK61" i="8"/>
  <c r="AK19" i="8"/>
  <c r="AK59" i="8"/>
  <c r="AK54" i="8"/>
  <c r="AK12" i="8"/>
  <c r="AK62" i="8" l="1"/>
  <c r="AM58" i="8" s="1"/>
  <c r="AN59" i="8" s="1"/>
  <c r="AK48" i="8"/>
  <c r="AM44" i="8" s="1"/>
  <c r="AK27" i="8"/>
  <c r="AM23" i="8" s="1"/>
  <c r="AK13" i="8"/>
  <c r="AM9" i="8" s="1"/>
  <c r="AK34" i="8"/>
  <c r="AM30" i="8" s="1"/>
  <c r="AK41" i="8"/>
  <c r="AM37" i="8" s="1"/>
  <c r="AK55" i="8"/>
  <c r="AM51" i="8" s="1"/>
  <c r="AK20" i="8"/>
  <c r="AM16" i="8" s="1"/>
  <c r="AN60" i="8" l="1"/>
  <c r="AU102" i="8" s="1"/>
  <c r="AN61" i="8"/>
  <c r="AN58" i="8"/>
  <c r="AU104" i="8" s="1"/>
  <c r="AN18" i="8"/>
  <c r="AN17" i="8"/>
  <c r="AN16" i="8"/>
  <c r="AN19" i="8"/>
  <c r="AN54" i="8"/>
  <c r="AN51" i="8"/>
  <c r="AN53" i="8"/>
  <c r="AN52" i="8"/>
  <c r="AN38" i="8"/>
  <c r="AN37" i="8"/>
  <c r="AN40" i="8"/>
  <c r="AN39" i="8"/>
  <c r="AN30" i="8"/>
  <c r="AN32" i="8"/>
  <c r="AN31" i="8"/>
  <c r="AN33" i="8"/>
  <c r="AN12" i="8"/>
  <c r="AN10" i="8"/>
  <c r="AN9" i="8"/>
  <c r="AN11" i="8"/>
  <c r="AN23" i="8"/>
  <c r="AN26" i="8"/>
  <c r="AN25" i="8"/>
  <c r="AN24" i="8"/>
  <c r="AN47" i="8"/>
  <c r="AN45" i="8"/>
  <c r="AN46" i="8"/>
  <c r="AN44" i="8"/>
  <c r="AU93" i="8" l="1"/>
  <c r="BF93" i="8" s="1"/>
  <c r="AU96" i="8"/>
  <c r="BF96" i="8" s="1"/>
  <c r="AU94" i="8"/>
  <c r="BF94" i="8" s="1"/>
  <c r="AU99" i="8"/>
  <c r="BF99" i="8" s="1"/>
  <c r="AU97" i="8"/>
  <c r="BK97" i="8" s="1"/>
  <c r="AU98" i="8"/>
  <c r="BF98" i="8" s="1"/>
  <c r="AU101" i="8"/>
  <c r="BF101" i="8" s="1"/>
  <c r="AU103" i="8"/>
  <c r="BJ103" i="8" s="1"/>
  <c r="AU100" i="8"/>
  <c r="BF100" i="8" s="1"/>
  <c r="AU95" i="8"/>
  <c r="BJ95" i="8" s="1"/>
  <c r="BJ101" i="8"/>
  <c r="AU75" i="8"/>
  <c r="AU80" i="8"/>
  <c r="AU69" i="8"/>
  <c r="AU78" i="8"/>
  <c r="AU72" i="8"/>
  <c r="AU74" i="8"/>
  <c r="AU36" i="8"/>
  <c r="AU42" i="8"/>
  <c r="AU38" i="8"/>
  <c r="AU41" i="8"/>
  <c r="AU35" i="8"/>
  <c r="AU40" i="8"/>
  <c r="AU10" i="8"/>
  <c r="AU13" i="8"/>
  <c r="AU19" i="8"/>
  <c r="AU12" i="8"/>
  <c r="AU18" i="8"/>
  <c r="AU14" i="8"/>
  <c r="AU47" i="8"/>
  <c r="AU53" i="8"/>
  <c r="AU52" i="8"/>
  <c r="AU55" i="8"/>
  <c r="AU49" i="8"/>
  <c r="AU46" i="8"/>
  <c r="AU61" i="8"/>
  <c r="AU67" i="8"/>
  <c r="AU58" i="8"/>
  <c r="AU57" i="8"/>
  <c r="AU63" i="8"/>
  <c r="AU68" i="8"/>
  <c r="AU84" i="8"/>
  <c r="AU90" i="8"/>
  <c r="AU86" i="8"/>
  <c r="AU92" i="8"/>
  <c r="AU87" i="8"/>
  <c r="AU81" i="8"/>
  <c r="AU29" i="8"/>
  <c r="AU23" i="8"/>
  <c r="AU28" i="8"/>
  <c r="AU24" i="8"/>
  <c r="AU30" i="8"/>
  <c r="AU26" i="8"/>
  <c r="BJ94" i="8"/>
  <c r="BL94" i="8"/>
  <c r="BK94" i="8"/>
  <c r="BJ102" i="8"/>
  <c r="BF102" i="8"/>
  <c r="BK102" i="8"/>
  <c r="BN102" i="8"/>
  <c r="BL102" i="8"/>
  <c r="BM102" i="8"/>
  <c r="BG102" i="8"/>
  <c r="BI102" i="8"/>
  <c r="BO102" i="8"/>
  <c r="BH102" i="8"/>
  <c r="BJ104" i="8"/>
  <c r="BF104" i="8"/>
  <c r="BO104" i="8"/>
  <c r="BN104" i="8"/>
  <c r="BL104" i="8"/>
  <c r="BI104" i="8"/>
  <c r="BG104" i="8"/>
  <c r="BM104" i="8"/>
  <c r="BK104" i="8"/>
  <c r="BH104" i="8"/>
  <c r="BK93" i="8"/>
  <c r="BG93" i="8"/>
  <c r="AU70" i="8"/>
  <c r="AU73" i="8"/>
  <c r="AU79" i="8"/>
  <c r="AU77" i="8"/>
  <c r="AU76" i="8"/>
  <c r="AU71" i="8"/>
  <c r="AU37" i="8"/>
  <c r="AU43" i="8"/>
  <c r="AU34" i="8"/>
  <c r="AU33" i="8"/>
  <c r="AU39" i="8"/>
  <c r="AU44" i="8"/>
  <c r="AU15" i="8"/>
  <c r="AU20" i="8"/>
  <c r="AU9" i="8"/>
  <c r="AU17" i="8"/>
  <c r="AU16" i="8"/>
  <c r="AU11" i="8"/>
  <c r="AU50" i="8"/>
  <c r="AU54" i="8"/>
  <c r="AU48" i="8"/>
  <c r="AU51" i="8"/>
  <c r="AU45" i="8"/>
  <c r="AU56" i="8"/>
  <c r="AU65" i="8"/>
  <c r="AU59" i="8"/>
  <c r="AU64" i="8"/>
  <c r="AU62" i="8"/>
  <c r="AU60" i="8"/>
  <c r="AU66" i="8"/>
  <c r="AU85" i="8"/>
  <c r="AU82" i="8"/>
  <c r="AU91" i="8"/>
  <c r="AU88" i="8"/>
  <c r="AU89" i="8"/>
  <c r="AU83" i="8"/>
  <c r="AU27" i="8"/>
  <c r="AU32" i="8"/>
  <c r="AU21" i="8"/>
  <c r="AU25" i="8"/>
  <c r="AU22" i="8"/>
  <c r="AU31" i="8"/>
  <c r="BO93" i="8" l="1"/>
  <c r="BL93" i="8"/>
  <c r="BJ93" i="8"/>
  <c r="BG94" i="8"/>
  <c r="BO94" i="8"/>
  <c r="BG97" i="8"/>
  <c r="BJ96" i="8"/>
  <c r="BH93" i="8"/>
  <c r="BI93" i="8"/>
  <c r="BM93" i="8"/>
  <c r="BN93" i="8"/>
  <c r="BH94" i="8"/>
  <c r="BM94" i="8"/>
  <c r="BI94" i="8"/>
  <c r="BN94" i="8"/>
  <c r="BJ97" i="8"/>
  <c r="BG98" i="8"/>
  <c r="BL99" i="8"/>
  <c r="BO96" i="8"/>
  <c r="BO99" i="8"/>
  <c r="BJ99" i="8"/>
  <c r="BK98" i="8"/>
  <c r="BL96" i="8"/>
  <c r="BG99" i="8"/>
  <c r="BK99" i="8"/>
  <c r="BO98" i="8"/>
  <c r="BL98" i="8"/>
  <c r="BJ98" i="8"/>
  <c r="BG96" i="8"/>
  <c r="BK96" i="8"/>
  <c r="BH99" i="8"/>
  <c r="BI99" i="8"/>
  <c r="BM99" i="8"/>
  <c r="BN99" i="8"/>
  <c r="BH98" i="8"/>
  <c r="BI98" i="8"/>
  <c r="BM98" i="8"/>
  <c r="BN98" i="8"/>
  <c r="BH96" i="8"/>
  <c r="BI96" i="8"/>
  <c r="BM96" i="8"/>
  <c r="BN96" i="8"/>
  <c r="BF97" i="8"/>
  <c r="BM97" i="8"/>
  <c r="BH97" i="8"/>
  <c r="BL97" i="8"/>
  <c r="BN97" i="8"/>
  <c r="BI97" i="8"/>
  <c r="BO97" i="8"/>
  <c r="BO101" i="8"/>
  <c r="BK100" i="8"/>
  <c r="BL101" i="8"/>
  <c r="BI95" i="8"/>
  <c r="BJ100" i="8"/>
  <c r="BG101" i="8"/>
  <c r="BK101" i="8"/>
  <c r="BL100" i="8"/>
  <c r="BH101" i="8"/>
  <c r="BI101" i="8"/>
  <c r="BM101" i="8"/>
  <c r="BN101" i="8"/>
  <c r="BI103" i="8"/>
  <c r="BN103" i="8"/>
  <c r="BH103" i="8"/>
  <c r="BM103" i="8"/>
  <c r="BF103" i="8"/>
  <c r="BG100" i="8"/>
  <c r="BO100" i="8"/>
  <c r="BO103" i="8"/>
  <c r="BG103" i="8"/>
  <c r="BL103" i="8"/>
  <c r="BK103" i="8"/>
  <c r="BH100" i="8"/>
  <c r="BM100" i="8"/>
  <c r="BI100" i="8"/>
  <c r="BN100" i="8"/>
  <c r="BN95" i="8"/>
  <c r="BH95" i="8"/>
  <c r="BM95" i="8"/>
  <c r="BF95" i="8"/>
  <c r="BO95" i="8"/>
  <c r="BG95" i="8"/>
  <c r="BL95" i="8"/>
  <c r="BK95" i="8"/>
  <c r="BL31" i="8"/>
  <c r="BO31" i="8"/>
  <c r="BI31" i="8"/>
  <c r="BH31" i="8"/>
  <c r="BG31" i="8"/>
  <c r="BN31" i="8"/>
  <c r="BK31" i="8"/>
  <c r="BF31" i="8"/>
  <c r="BM31" i="8"/>
  <c r="BJ31" i="8"/>
  <c r="BG25" i="8"/>
  <c r="BK25" i="8"/>
  <c r="BF25" i="8"/>
  <c r="BM25" i="8"/>
  <c r="BO25" i="8"/>
  <c r="BJ25" i="8"/>
  <c r="BH25" i="8"/>
  <c r="BL25" i="8"/>
  <c r="BI25" i="8"/>
  <c r="BN25" i="8"/>
  <c r="BL32" i="8"/>
  <c r="BO32" i="8"/>
  <c r="BI32" i="8"/>
  <c r="BH32" i="8"/>
  <c r="BG32" i="8"/>
  <c r="BN32" i="8"/>
  <c r="BK32" i="8"/>
  <c r="BF32" i="8"/>
  <c r="BM32" i="8"/>
  <c r="BJ32" i="8"/>
  <c r="BK83" i="8"/>
  <c r="BO83" i="8"/>
  <c r="BF83" i="8"/>
  <c r="BH83" i="8"/>
  <c r="BL83" i="8"/>
  <c r="BM83" i="8"/>
  <c r="BJ83" i="8"/>
  <c r="BG83" i="8"/>
  <c r="BI83" i="8"/>
  <c r="BN83" i="8"/>
  <c r="BL88" i="8"/>
  <c r="BF88" i="8"/>
  <c r="BO88" i="8"/>
  <c r="BJ88" i="8"/>
  <c r="BG88" i="8"/>
  <c r="BI88" i="8"/>
  <c r="BN88" i="8"/>
  <c r="BH88" i="8"/>
  <c r="BM88" i="8"/>
  <c r="BK88" i="8"/>
  <c r="BG82" i="8"/>
  <c r="BL82" i="8"/>
  <c r="BO82" i="8"/>
  <c r="BI82" i="8"/>
  <c r="BK82" i="8"/>
  <c r="BJ82" i="8"/>
  <c r="BH82" i="8"/>
  <c r="BF82" i="8"/>
  <c r="BM82" i="8"/>
  <c r="BN82" i="8"/>
  <c r="BM66" i="8"/>
  <c r="BO66" i="8"/>
  <c r="BL66" i="8"/>
  <c r="BJ66" i="8"/>
  <c r="BF66" i="8"/>
  <c r="BI66" i="8"/>
  <c r="BH66" i="8"/>
  <c r="BK66" i="8"/>
  <c r="BN66" i="8"/>
  <c r="BG66" i="8"/>
  <c r="BJ62" i="8"/>
  <c r="BM62" i="8"/>
  <c r="BG62" i="8"/>
  <c r="BF62" i="8"/>
  <c r="BK62" i="8"/>
  <c r="BN62" i="8"/>
  <c r="BL62" i="8"/>
  <c r="BI62" i="8"/>
  <c r="BO62" i="8"/>
  <c r="BH62" i="8"/>
  <c r="BJ59" i="8"/>
  <c r="BF59" i="8"/>
  <c r="BK59" i="8"/>
  <c r="BN59" i="8"/>
  <c r="BL59" i="8"/>
  <c r="BM59" i="8"/>
  <c r="BG59" i="8"/>
  <c r="BI59" i="8"/>
  <c r="BO59" i="8"/>
  <c r="BH59" i="8"/>
  <c r="BN56" i="8"/>
  <c r="BO56" i="8"/>
  <c r="BL56" i="8"/>
  <c r="BJ56" i="8"/>
  <c r="BK56" i="8"/>
  <c r="BI56" i="8"/>
  <c r="BH56" i="8"/>
  <c r="BM56" i="8"/>
  <c r="BF56" i="8"/>
  <c r="BG56" i="8"/>
  <c r="BN51" i="8"/>
  <c r="BO51" i="8"/>
  <c r="BL51" i="8"/>
  <c r="BJ51" i="8"/>
  <c r="BK51" i="8"/>
  <c r="BI51" i="8"/>
  <c r="BH51" i="8"/>
  <c r="BM51" i="8"/>
  <c r="BF51" i="8"/>
  <c r="BG51" i="8"/>
  <c r="BN54" i="8"/>
  <c r="BO54" i="8"/>
  <c r="BL54" i="8"/>
  <c r="BJ54" i="8"/>
  <c r="BK54" i="8"/>
  <c r="BI54" i="8"/>
  <c r="BH54" i="8"/>
  <c r="BM54" i="8"/>
  <c r="BF54" i="8"/>
  <c r="BG54" i="8"/>
  <c r="BO11" i="8"/>
  <c r="BM11" i="8"/>
  <c r="BH11" i="8"/>
  <c r="BN11" i="8"/>
  <c r="BG11" i="8"/>
  <c r="BJ11" i="8"/>
  <c r="BI11" i="8"/>
  <c r="BL11" i="8"/>
  <c r="BF11" i="8"/>
  <c r="BK11" i="8"/>
  <c r="BI17" i="8"/>
  <c r="BJ17" i="8"/>
  <c r="BG17" i="8"/>
  <c r="BN17" i="8"/>
  <c r="BH17" i="8"/>
  <c r="BF17" i="8"/>
  <c r="BM17" i="8"/>
  <c r="BO17" i="8"/>
  <c r="BK17" i="8"/>
  <c r="BL17" i="8"/>
  <c r="BL20" i="8"/>
  <c r="BO20" i="8"/>
  <c r="BI20" i="8"/>
  <c r="BH20" i="8"/>
  <c r="BG20" i="8"/>
  <c r="BJ20" i="8"/>
  <c r="BK20" i="8"/>
  <c r="BF20" i="8"/>
  <c r="BM20" i="8"/>
  <c r="BN20" i="8"/>
  <c r="BH44" i="8"/>
  <c r="BK44" i="8"/>
  <c r="BF44" i="8"/>
  <c r="BM44" i="8"/>
  <c r="BG44" i="8"/>
  <c r="BN44" i="8"/>
  <c r="BL44" i="8"/>
  <c r="BO44" i="8"/>
  <c r="BI44" i="8"/>
  <c r="BJ44" i="8"/>
  <c r="BG33" i="8"/>
  <c r="BK33" i="8"/>
  <c r="BF33" i="8"/>
  <c r="BM33" i="8"/>
  <c r="BL33" i="8"/>
  <c r="BN33" i="8"/>
  <c r="BO33" i="8"/>
  <c r="BI33" i="8"/>
  <c r="BH33" i="8"/>
  <c r="BJ33" i="8"/>
  <c r="BH43" i="8"/>
  <c r="BK43" i="8"/>
  <c r="BF43" i="8"/>
  <c r="BM43" i="8"/>
  <c r="BG43" i="8"/>
  <c r="BN43" i="8"/>
  <c r="BO43" i="8"/>
  <c r="BJ43" i="8"/>
  <c r="BL43" i="8"/>
  <c r="BI43" i="8"/>
  <c r="BN71" i="8"/>
  <c r="BO71" i="8"/>
  <c r="BL71" i="8"/>
  <c r="BJ71" i="8"/>
  <c r="BM71" i="8"/>
  <c r="BI71" i="8"/>
  <c r="BK71" i="8"/>
  <c r="BF71" i="8"/>
  <c r="BH71" i="8"/>
  <c r="BG71" i="8"/>
  <c r="BJ77" i="8"/>
  <c r="BF77" i="8"/>
  <c r="BK77" i="8"/>
  <c r="BN77" i="8"/>
  <c r="BL77" i="8"/>
  <c r="BM77" i="8"/>
  <c r="BG77" i="8"/>
  <c r="BI77" i="8"/>
  <c r="BO77" i="8"/>
  <c r="BH77" i="8"/>
  <c r="BJ73" i="8"/>
  <c r="BF73" i="8"/>
  <c r="BK73" i="8"/>
  <c r="BN73" i="8"/>
  <c r="BL73" i="8"/>
  <c r="BM73" i="8"/>
  <c r="BG73" i="8"/>
  <c r="BI73" i="8"/>
  <c r="BO73" i="8"/>
  <c r="BH73" i="8"/>
  <c r="BL26" i="8"/>
  <c r="BO26" i="8"/>
  <c r="BI26" i="8"/>
  <c r="BH26" i="8"/>
  <c r="BG26" i="8"/>
  <c r="BJ26" i="8"/>
  <c r="BK26" i="8"/>
  <c r="BF26" i="8"/>
  <c r="BM26" i="8"/>
  <c r="BN26" i="8"/>
  <c r="BL24" i="8"/>
  <c r="BO24" i="8"/>
  <c r="BI24" i="8"/>
  <c r="BH24" i="8"/>
  <c r="BG24" i="8"/>
  <c r="BJ24" i="8"/>
  <c r="BK24" i="8"/>
  <c r="BF24" i="8"/>
  <c r="BM24" i="8"/>
  <c r="BN24" i="8"/>
  <c r="BL23" i="8"/>
  <c r="BO23" i="8"/>
  <c r="BI23" i="8"/>
  <c r="BH23" i="8"/>
  <c r="BG23" i="8"/>
  <c r="BN23" i="8"/>
  <c r="BK23" i="8"/>
  <c r="BF23" i="8"/>
  <c r="BM23" i="8"/>
  <c r="BJ23" i="8"/>
  <c r="BK81" i="8"/>
  <c r="BO81" i="8"/>
  <c r="BN81" i="8"/>
  <c r="BL81" i="8"/>
  <c r="BI81" i="8"/>
  <c r="BM81" i="8"/>
  <c r="BJ81" i="8"/>
  <c r="BG81" i="8"/>
  <c r="BH81" i="8"/>
  <c r="BF81" i="8"/>
  <c r="BJ92" i="8"/>
  <c r="BF92" i="8"/>
  <c r="BK92" i="8"/>
  <c r="BN92" i="8"/>
  <c r="BL92" i="8"/>
  <c r="BM92" i="8"/>
  <c r="BG92" i="8"/>
  <c r="BI92" i="8"/>
  <c r="BO92" i="8"/>
  <c r="BH92" i="8"/>
  <c r="BJ90" i="8"/>
  <c r="BK90" i="8"/>
  <c r="BF90" i="8"/>
  <c r="BM90" i="8"/>
  <c r="BG90" i="8"/>
  <c r="BN90" i="8"/>
  <c r="BL90" i="8"/>
  <c r="BI90" i="8"/>
  <c r="BH90" i="8"/>
  <c r="BO90" i="8"/>
  <c r="BM68" i="8"/>
  <c r="BO68" i="8"/>
  <c r="BL68" i="8"/>
  <c r="BJ68" i="8"/>
  <c r="BF68" i="8"/>
  <c r="BI68" i="8"/>
  <c r="BH68" i="8"/>
  <c r="BK68" i="8"/>
  <c r="BN68" i="8"/>
  <c r="BG68" i="8"/>
  <c r="BJ57" i="8"/>
  <c r="BF57" i="8"/>
  <c r="BK57" i="8"/>
  <c r="BN57" i="8"/>
  <c r="BL57" i="8"/>
  <c r="BM57" i="8"/>
  <c r="BG57" i="8"/>
  <c r="BI57" i="8"/>
  <c r="BO57" i="8"/>
  <c r="BH57" i="8"/>
  <c r="BJ67" i="8"/>
  <c r="BF67" i="8"/>
  <c r="BK67" i="8"/>
  <c r="BN67" i="8"/>
  <c r="BL67" i="8"/>
  <c r="BM67" i="8"/>
  <c r="BG67" i="8"/>
  <c r="BI67" i="8"/>
  <c r="BO67" i="8"/>
  <c r="BH67" i="8"/>
  <c r="BN46" i="8"/>
  <c r="BO46" i="8"/>
  <c r="BL46" i="8"/>
  <c r="BJ46" i="8"/>
  <c r="BK46" i="8"/>
  <c r="BI46" i="8"/>
  <c r="BH46" i="8"/>
  <c r="BM46" i="8"/>
  <c r="BF46" i="8"/>
  <c r="BG46" i="8"/>
  <c r="BN55" i="8"/>
  <c r="BO55" i="8"/>
  <c r="BL55" i="8"/>
  <c r="BJ55" i="8"/>
  <c r="BK55" i="8"/>
  <c r="BI55" i="8"/>
  <c r="BH55" i="8"/>
  <c r="BM55" i="8"/>
  <c r="BF55" i="8"/>
  <c r="BG55" i="8"/>
  <c r="BN53" i="8"/>
  <c r="BO53" i="8"/>
  <c r="BL53" i="8"/>
  <c r="BJ53" i="8"/>
  <c r="BK53" i="8"/>
  <c r="BI53" i="8"/>
  <c r="BH53" i="8"/>
  <c r="BM53" i="8"/>
  <c r="BF53" i="8"/>
  <c r="BG53" i="8"/>
  <c r="BM14" i="8"/>
  <c r="BJ14" i="8"/>
  <c r="BL14" i="8"/>
  <c r="BN14" i="8"/>
  <c r="BK14" i="8"/>
  <c r="BI14" i="8"/>
  <c r="BH14" i="8"/>
  <c r="BG14" i="8"/>
  <c r="BO14" i="8"/>
  <c r="BF14" i="8"/>
  <c r="BL12" i="8"/>
  <c r="BO12" i="8"/>
  <c r="BM12" i="8"/>
  <c r="BH12" i="8"/>
  <c r="BG12" i="8"/>
  <c r="BN12" i="8"/>
  <c r="BK12" i="8"/>
  <c r="BF12" i="8"/>
  <c r="BJ12" i="8"/>
  <c r="BI12" i="8"/>
  <c r="BL13" i="8"/>
  <c r="BO13" i="8"/>
  <c r="BI13" i="8"/>
  <c r="BG13" i="8"/>
  <c r="BM13" i="8"/>
  <c r="BJ13" i="8"/>
  <c r="BK13" i="8"/>
  <c r="BF13" i="8"/>
  <c r="BH13" i="8"/>
  <c r="BN13" i="8"/>
  <c r="BH40" i="8"/>
  <c r="BK40" i="8"/>
  <c r="BF40" i="8"/>
  <c r="BM40" i="8"/>
  <c r="BG40" i="8"/>
  <c r="BN40" i="8"/>
  <c r="BL40" i="8"/>
  <c r="BO40" i="8"/>
  <c r="BI40" i="8"/>
  <c r="BJ40" i="8"/>
  <c r="BH41" i="8"/>
  <c r="BK41" i="8"/>
  <c r="BF41" i="8"/>
  <c r="BM41" i="8"/>
  <c r="BL41" i="8"/>
  <c r="BN41" i="8"/>
  <c r="BI41" i="8"/>
  <c r="BG41" i="8"/>
  <c r="BO41" i="8"/>
  <c r="BJ41" i="8"/>
  <c r="BG42" i="8"/>
  <c r="BL42" i="8"/>
  <c r="BO42" i="8"/>
  <c r="BI42" i="8"/>
  <c r="BH42" i="8"/>
  <c r="BJ42" i="8"/>
  <c r="BK42" i="8"/>
  <c r="BF42" i="8"/>
  <c r="BM42" i="8"/>
  <c r="BN42" i="8"/>
  <c r="BJ74" i="8"/>
  <c r="BF74" i="8"/>
  <c r="BK74" i="8"/>
  <c r="BN74" i="8"/>
  <c r="BL74" i="8"/>
  <c r="BM74" i="8"/>
  <c r="BG74" i="8"/>
  <c r="BI74" i="8"/>
  <c r="BO74" i="8"/>
  <c r="BH74" i="8"/>
  <c r="BJ78" i="8"/>
  <c r="BF78" i="8"/>
  <c r="BK78" i="8"/>
  <c r="BN78" i="8"/>
  <c r="BL78" i="8"/>
  <c r="BM78" i="8"/>
  <c r="BG78" i="8"/>
  <c r="BI78" i="8"/>
  <c r="BO78" i="8"/>
  <c r="BH78" i="8"/>
  <c r="BJ80" i="8"/>
  <c r="BF80" i="8"/>
  <c r="BK80" i="8"/>
  <c r="BN80" i="8"/>
  <c r="BL80" i="8"/>
  <c r="BM80" i="8"/>
  <c r="BG80" i="8"/>
  <c r="BI80" i="8"/>
  <c r="BO80" i="8"/>
  <c r="BH80" i="8"/>
  <c r="BG22" i="8"/>
  <c r="BK22" i="8"/>
  <c r="BF22" i="8"/>
  <c r="BM22" i="8"/>
  <c r="BL22" i="8"/>
  <c r="BN22" i="8"/>
  <c r="BI22" i="8"/>
  <c r="BJ22" i="8"/>
  <c r="BO22" i="8"/>
  <c r="BH22" i="8"/>
  <c r="BL21" i="8"/>
  <c r="BO21" i="8"/>
  <c r="BI21" i="8"/>
  <c r="BH21" i="8"/>
  <c r="BG21" i="8"/>
  <c r="BN21" i="8"/>
  <c r="BK21" i="8"/>
  <c r="BF21" i="8"/>
  <c r="BM21" i="8"/>
  <c r="BJ21" i="8"/>
  <c r="BL27" i="8"/>
  <c r="BO27" i="8"/>
  <c r="BI27" i="8"/>
  <c r="BH27" i="8"/>
  <c r="BG27" i="8"/>
  <c r="BN27" i="8"/>
  <c r="BK27" i="8"/>
  <c r="BF27" i="8"/>
  <c r="BM27" i="8"/>
  <c r="BJ27" i="8"/>
  <c r="BK89" i="8"/>
  <c r="BO89" i="8"/>
  <c r="BN89" i="8"/>
  <c r="BL89" i="8"/>
  <c r="BF89" i="8"/>
  <c r="BM89" i="8"/>
  <c r="BJ89" i="8"/>
  <c r="BG89" i="8"/>
  <c r="BH89" i="8"/>
  <c r="BI89" i="8"/>
  <c r="BO91" i="8"/>
  <c r="BM91" i="8"/>
  <c r="BL91" i="8"/>
  <c r="BN91" i="8"/>
  <c r="BH91" i="8"/>
  <c r="BJ91" i="8"/>
  <c r="BG91" i="8"/>
  <c r="BK91" i="8"/>
  <c r="BF91" i="8"/>
  <c r="BI91" i="8"/>
  <c r="BH85" i="8"/>
  <c r="BK85" i="8"/>
  <c r="BF85" i="8"/>
  <c r="BM85" i="8"/>
  <c r="BG85" i="8"/>
  <c r="BN85" i="8"/>
  <c r="BL85" i="8"/>
  <c r="BO85" i="8"/>
  <c r="BI85" i="8"/>
  <c r="BJ85" i="8"/>
  <c r="BN60" i="8"/>
  <c r="BO60" i="8"/>
  <c r="BL60" i="8"/>
  <c r="BJ60" i="8"/>
  <c r="BM60" i="8"/>
  <c r="BI60" i="8"/>
  <c r="BK60" i="8"/>
  <c r="BF60" i="8"/>
  <c r="BH60" i="8"/>
  <c r="BG60" i="8"/>
  <c r="BJ64" i="8"/>
  <c r="BF64" i="8"/>
  <c r="BK64" i="8"/>
  <c r="BN64" i="8"/>
  <c r="BL64" i="8"/>
  <c r="BM64" i="8"/>
  <c r="BG64" i="8"/>
  <c r="BI64" i="8"/>
  <c r="BO64" i="8"/>
  <c r="BH64" i="8"/>
  <c r="BJ65" i="8"/>
  <c r="BF65" i="8"/>
  <c r="BK65" i="8"/>
  <c r="BN65" i="8"/>
  <c r="BL65" i="8"/>
  <c r="BM65" i="8"/>
  <c r="BG65" i="8"/>
  <c r="BI65" i="8"/>
  <c r="BO65" i="8"/>
  <c r="BH65" i="8"/>
  <c r="BN45" i="8"/>
  <c r="BO45" i="8"/>
  <c r="BL45" i="8"/>
  <c r="BJ45" i="8"/>
  <c r="BK45" i="8"/>
  <c r="BI45" i="8"/>
  <c r="BH45" i="8"/>
  <c r="BM45" i="8"/>
  <c r="BF45" i="8"/>
  <c r="BG45" i="8"/>
  <c r="BN48" i="8"/>
  <c r="BO48" i="8"/>
  <c r="BL48" i="8"/>
  <c r="BJ48" i="8"/>
  <c r="BK48" i="8"/>
  <c r="BI48" i="8"/>
  <c r="BH48" i="8"/>
  <c r="BM48" i="8"/>
  <c r="BF48" i="8"/>
  <c r="BG48" i="8"/>
  <c r="BN50" i="8"/>
  <c r="BO50" i="8"/>
  <c r="BL50" i="8"/>
  <c r="BJ50" i="8"/>
  <c r="BK50" i="8"/>
  <c r="BI50" i="8"/>
  <c r="BH50" i="8"/>
  <c r="BM50" i="8"/>
  <c r="BF50" i="8"/>
  <c r="BG50" i="8"/>
  <c r="BL16" i="8"/>
  <c r="BO16" i="8"/>
  <c r="BI16" i="8"/>
  <c r="BH16" i="8"/>
  <c r="BG16" i="8"/>
  <c r="BN16" i="8"/>
  <c r="BK16" i="8"/>
  <c r="BF16" i="8"/>
  <c r="BM16" i="8"/>
  <c r="BJ16" i="8"/>
  <c r="BI9" i="8"/>
  <c r="BH9" i="8"/>
  <c r="BN9" i="8"/>
  <c r="BJ9" i="8"/>
  <c r="BO9" i="8"/>
  <c r="BF9" i="8"/>
  <c r="BM9" i="8"/>
  <c r="BG9" i="8"/>
  <c r="BK9" i="8"/>
  <c r="BL9" i="8"/>
  <c r="BG15" i="8"/>
  <c r="BI15" i="8"/>
  <c r="BJ15" i="8"/>
  <c r="BM15" i="8"/>
  <c r="BL15" i="8"/>
  <c r="BN15" i="8"/>
  <c r="BF15" i="8"/>
  <c r="BK15" i="8"/>
  <c r="BO15" i="8"/>
  <c r="BH15" i="8"/>
  <c r="BG39" i="8"/>
  <c r="BL39" i="8"/>
  <c r="BO39" i="8"/>
  <c r="BI39" i="8"/>
  <c r="BH39" i="8"/>
  <c r="BJ39" i="8"/>
  <c r="BK39" i="8"/>
  <c r="BF39" i="8"/>
  <c r="BM39" i="8"/>
  <c r="BN39" i="8"/>
  <c r="BL34" i="8"/>
  <c r="BO34" i="8"/>
  <c r="BI34" i="8"/>
  <c r="BH34" i="8"/>
  <c r="BG34" i="8"/>
  <c r="BN34" i="8"/>
  <c r="BK34" i="8"/>
  <c r="BF34" i="8"/>
  <c r="BM34" i="8"/>
  <c r="BJ34" i="8"/>
  <c r="BL37" i="8"/>
  <c r="BH37" i="8"/>
  <c r="BK37" i="8"/>
  <c r="BG37" i="8"/>
  <c r="BF37" i="8"/>
  <c r="BO37" i="8"/>
  <c r="BI37" i="8"/>
  <c r="BN37" i="8"/>
  <c r="BJ37" i="8"/>
  <c r="BM37" i="8"/>
  <c r="BM76" i="8"/>
  <c r="BO76" i="8"/>
  <c r="BL76" i="8"/>
  <c r="BJ76" i="8"/>
  <c r="BF76" i="8"/>
  <c r="BI76" i="8"/>
  <c r="BH76" i="8"/>
  <c r="BK76" i="8"/>
  <c r="BN76" i="8"/>
  <c r="BG76" i="8"/>
  <c r="BJ79" i="8"/>
  <c r="BF79" i="8"/>
  <c r="BK79" i="8"/>
  <c r="BN79" i="8"/>
  <c r="BL79" i="8"/>
  <c r="BM79" i="8"/>
  <c r="BG79" i="8"/>
  <c r="BI79" i="8"/>
  <c r="BO79" i="8"/>
  <c r="BH79" i="8"/>
  <c r="BN70" i="8"/>
  <c r="BO70" i="8"/>
  <c r="BL70" i="8"/>
  <c r="BJ70" i="8"/>
  <c r="BM70" i="8"/>
  <c r="BI70" i="8"/>
  <c r="BK70" i="8"/>
  <c r="BF70" i="8"/>
  <c r="BH70" i="8"/>
  <c r="BG70" i="8"/>
  <c r="BL30" i="8"/>
  <c r="BO30" i="8"/>
  <c r="BI30" i="8"/>
  <c r="BH30" i="8"/>
  <c r="BG30" i="8"/>
  <c r="BJ30" i="8"/>
  <c r="BK30" i="8"/>
  <c r="BF30" i="8"/>
  <c r="BM30" i="8"/>
  <c r="BN30" i="8"/>
  <c r="BG28" i="8"/>
  <c r="BK28" i="8"/>
  <c r="BF28" i="8"/>
  <c r="BM28" i="8"/>
  <c r="BO28" i="8"/>
  <c r="BN28" i="8"/>
  <c r="BH28" i="8"/>
  <c r="BL28" i="8"/>
  <c r="BI28" i="8"/>
  <c r="BJ28" i="8"/>
  <c r="BL29" i="8"/>
  <c r="BO29" i="8"/>
  <c r="BI29" i="8"/>
  <c r="BH29" i="8"/>
  <c r="BG29" i="8"/>
  <c r="BN29" i="8"/>
  <c r="BK29" i="8"/>
  <c r="BF29" i="8"/>
  <c r="BM29" i="8"/>
  <c r="BJ29" i="8"/>
  <c r="BJ87" i="8"/>
  <c r="BF87" i="8"/>
  <c r="BK87" i="8"/>
  <c r="BN87" i="8"/>
  <c r="BL87" i="8"/>
  <c r="BM87" i="8"/>
  <c r="BG87" i="8"/>
  <c r="BI87" i="8"/>
  <c r="BO87" i="8"/>
  <c r="BH87" i="8"/>
  <c r="BK86" i="8"/>
  <c r="BO86" i="8"/>
  <c r="BN86" i="8"/>
  <c r="BL86" i="8"/>
  <c r="BF86" i="8"/>
  <c r="BM86" i="8"/>
  <c r="BJ86" i="8"/>
  <c r="BG86" i="8"/>
  <c r="BH86" i="8"/>
  <c r="BI86" i="8"/>
  <c r="BN84" i="8"/>
  <c r="BL84" i="8"/>
  <c r="BJ84" i="8"/>
  <c r="BO84" i="8"/>
  <c r="BK84" i="8"/>
  <c r="BM84" i="8"/>
  <c r="BH84" i="8"/>
  <c r="BG84" i="8"/>
  <c r="BF84" i="8"/>
  <c r="BI84" i="8"/>
  <c r="BJ63" i="8"/>
  <c r="BF63" i="8"/>
  <c r="BK63" i="8"/>
  <c r="BN63" i="8"/>
  <c r="BL63" i="8"/>
  <c r="BM63" i="8"/>
  <c r="BG63" i="8"/>
  <c r="BI63" i="8"/>
  <c r="BO63" i="8"/>
  <c r="BH63" i="8"/>
  <c r="BJ58" i="8"/>
  <c r="BF58" i="8"/>
  <c r="BK58" i="8"/>
  <c r="BN58" i="8"/>
  <c r="BL58" i="8"/>
  <c r="BM58" i="8"/>
  <c r="BG58" i="8"/>
  <c r="BI58" i="8"/>
  <c r="BO58" i="8"/>
  <c r="BH58" i="8"/>
  <c r="BJ61" i="8"/>
  <c r="BF61" i="8"/>
  <c r="BK61" i="8"/>
  <c r="BN61" i="8"/>
  <c r="BL61" i="8"/>
  <c r="BM61" i="8"/>
  <c r="BG61" i="8"/>
  <c r="BI61" i="8"/>
  <c r="BO61" i="8"/>
  <c r="BH61" i="8"/>
  <c r="BN49" i="8"/>
  <c r="BO49" i="8"/>
  <c r="BL49" i="8"/>
  <c r="BJ49" i="8"/>
  <c r="BK49" i="8"/>
  <c r="BI49" i="8"/>
  <c r="BH49" i="8"/>
  <c r="BM49" i="8"/>
  <c r="BF49" i="8"/>
  <c r="BG49" i="8"/>
  <c r="BN52" i="8"/>
  <c r="BO52" i="8"/>
  <c r="BL52" i="8"/>
  <c r="BJ52" i="8"/>
  <c r="BK52" i="8"/>
  <c r="BI52" i="8"/>
  <c r="BH52" i="8"/>
  <c r="BM52" i="8"/>
  <c r="BF52" i="8"/>
  <c r="BG52" i="8"/>
  <c r="BI47" i="8"/>
  <c r="BN47" i="8"/>
  <c r="BO47" i="8"/>
  <c r="BL47" i="8"/>
  <c r="BJ47" i="8"/>
  <c r="BK47" i="8"/>
  <c r="BH47" i="8"/>
  <c r="BM47" i="8"/>
  <c r="BF47" i="8"/>
  <c r="BG47" i="8"/>
  <c r="BM18" i="8"/>
  <c r="BJ18" i="8"/>
  <c r="BN18" i="8"/>
  <c r="BF18" i="8"/>
  <c r="BO18" i="8"/>
  <c r="BI18" i="8"/>
  <c r="BH18" i="8"/>
  <c r="BG18" i="8"/>
  <c r="BK18" i="8"/>
  <c r="BL18" i="8"/>
  <c r="BL19" i="8"/>
  <c r="BO19" i="8"/>
  <c r="BM19" i="8"/>
  <c r="BI19" i="8"/>
  <c r="BH19" i="8"/>
  <c r="BJ19" i="8"/>
  <c r="BK19" i="8"/>
  <c r="BF19" i="8"/>
  <c r="BN19" i="8"/>
  <c r="BG19" i="8"/>
  <c r="BI10" i="8"/>
  <c r="BH10" i="8"/>
  <c r="BL10" i="8"/>
  <c r="BK10" i="8"/>
  <c r="BJ10" i="8"/>
  <c r="BF10" i="8"/>
  <c r="BM10" i="8"/>
  <c r="BG10" i="8"/>
  <c r="BO10" i="8"/>
  <c r="BN10" i="8"/>
  <c r="BL35" i="8"/>
  <c r="BO35" i="8"/>
  <c r="BI35" i="8"/>
  <c r="BH35" i="8"/>
  <c r="BG35" i="8"/>
  <c r="BJ35" i="8"/>
  <c r="BK35" i="8"/>
  <c r="BF35" i="8"/>
  <c r="BM35" i="8"/>
  <c r="BN35" i="8"/>
  <c r="BG38" i="8"/>
  <c r="BL38" i="8"/>
  <c r="BO38" i="8"/>
  <c r="BI38" i="8"/>
  <c r="BH38" i="8"/>
  <c r="BJ38" i="8"/>
  <c r="BK38" i="8"/>
  <c r="BF38" i="8"/>
  <c r="BM38" i="8"/>
  <c r="BN38" i="8"/>
  <c r="BL36" i="8"/>
  <c r="BO36" i="8"/>
  <c r="BI36" i="8"/>
  <c r="BH36" i="8"/>
  <c r="BG36" i="8"/>
  <c r="BN36" i="8"/>
  <c r="BK36" i="8"/>
  <c r="BF36" i="8"/>
  <c r="BM36" i="8"/>
  <c r="BJ36" i="8"/>
  <c r="BJ72" i="8"/>
  <c r="BF72" i="8"/>
  <c r="BO72" i="8"/>
  <c r="BI72" i="8"/>
  <c r="BL72" i="8"/>
  <c r="BM72" i="8"/>
  <c r="BG72" i="8"/>
  <c r="BK72" i="8"/>
  <c r="BN72" i="8"/>
  <c r="BH72" i="8"/>
  <c r="BJ69" i="8"/>
  <c r="BF69" i="8"/>
  <c r="BK69" i="8"/>
  <c r="BN69" i="8"/>
  <c r="BL69" i="8"/>
  <c r="BM69" i="8"/>
  <c r="BG69" i="8"/>
  <c r="BI69" i="8"/>
  <c r="BO69" i="8"/>
  <c r="BH69" i="8"/>
  <c r="BJ75" i="8"/>
  <c r="BF75" i="8"/>
  <c r="BK75" i="8"/>
  <c r="BN75" i="8"/>
  <c r="BL75" i="8"/>
  <c r="BM75" i="8"/>
  <c r="BG75" i="8"/>
  <c r="BI75" i="8"/>
  <c r="BO75" i="8"/>
  <c r="BH75" i="8"/>
  <c r="AP26" i="8" l="1"/>
  <c r="AP45" i="8"/>
  <c r="AP61" i="8"/>
  <c r="AP40" i="8"/>
  <c r="AP44" i="8"/>
  <c r="AP37" i="8"/>
  <c r="AP9" i="8"/>
  <c r="AP39" i="8"/>
  <c r="AP32" i="8"/>
  <c r="AP53" i="8"/>
  <c r="AP58" i="8"/>
  <c r="AP30" i="8"/>
  <c r="AP33" i="8"/>
  <c r="AP52" i="8"/>
  <c r="AP11" i="8"/>
  <c r="AP17" i="8"/>
  <c r="AP60" i="8"/>
  <c r="AP10" i="8"/>
  <c r="AP18" i="8"/>
  <c r="AP51" i="8"/>
  <c r="AP25" i="8"/>
  <c r="AP16" i="8"/>
  <c r="AP23" i="8"/>
  <c r="AP46" i="8"/>
  <c r="AP31" i="8"/>
  <c r="AP38" i="8"/>
  <c r="AP59" i="8"/>
  <c r="AP19" i="8"/>
  <c r="AP24" i="8"/>
  <c r="AP54" i="8"/>
  <c r="AP47" i="8"/>
  <c r="AP12" i="8"/>
  <c r="AO60" i="8"/>
  <c r="AO16" i="8"/>
  <c r="AO53" i="8"/>
  <c r="AO30" i="8"/>
  <c r="AO17" i="8"/>
  <c r="AO26" i="8"/>
  <c r="AO33" i="8"/>
  <c r="AO40" i="8"/>
  <c r="AO11" i="8"/>
  <c r="AO52" i="8"/>
  <c r="AO61" i="8"/>
  <c r="AO45" i="8"/>
  <c r="AO51" i="8"/>
  <c r="AO32" i="8"/>
  <c r="AO23" i="8"/>
  <c r="AO58" i="8"/>
  <c r="AO46" i="8"/>
  <c r="AO18" i="8"/>
  <c r="AO9" i="8"/>
  <c r="AO39" i="8"/>
  <c r="AO25" i="8"/>
  <c r="AO44" i="8"/>
  <c r="AO10" i="8"/>
  <c r="AO37" i="8"/>
  <c r="AO31" i="8"/>
  <c r="AO38" i="8"/>
  <c r="AO59" i="8"/>
  <c r="AO19" i="8"/>
  <c r="AO47" i="8"/>
  <c r="AO24" i="8"/>
  <c r="AO54" i="8"/>
  <c r="AO12" i="8"/>
  <c r="AQ45" i="8"/>
  <c r="AQ61" i="8"/>
  <c r="AQ40" i="8"/>
  <c r="AQ39" i="8"/>
  <c r="AQ16" i="8"/>
  <c r="AQ30" i="8"/>
  <c r="AQ60" i="8"/>
  <c r="AQ32" i="8"/>
  <c r="AQ37" i="8"/>
  <c r="AQ58" i="8"/>
  <c r="AQ18" i="8"/>
  <c r="AQ26" i="8"/>
  <c r="AQ33" i="8"/>
  <c r="AQ11" i="8"/>
  <c r="AQ17" i="8"/>
  <c r="AQ52" i="8"/>
  <c r="AQ9" i="8"/>
  <c r="AQ25" i="8"/>
  <c r="AQ53" i="8"/>
  <c r="AQ51" i="8"/>
  <c r="AQ44" i="8"/>
  <c r="AQ10" i="8"/>
  <c r="AQ23" i="8"/>
  <c r="AQ46" i="8"/>
  <c r="AQ47" i="8"/>
  <c r="AQ12" i="8"/>
  <c r="AQ31" i="8"/>
  <c r="AQ38" i="8"/>
  <c r="AQ59" i="8"/>
  <c r="AQ19" i="8"/>
  <c r="AQ24" i="8"/>
  <c r="AQ54" i="8"/>
  <c r="AR12" i="8" l="1"/>
  <c r="AS12" i="8" s="1"/>
  <c r="AJ12" i="8" s="1"/>
  <c r="AR24" i="8"/>
  <c r="AS24" i="8" s="1"/>
  <c r="AJ24" i="8" s="1"/>
  <c r="AR19" i="8"/>
  <c r="AS19" i="8" s="1"/>
  <c r="AJ19" i="8" s="1"/>
  <c r="AR38" i="8"/>
  <c r="AS38" i="8" s="1"/>
  <c r="AJ38" i="8" s="1"/>
  <c r="AR37" i="8"/>
  <c r="AS37" i="8" s="1"/>
  <c r="AJ37" i="8" s="1"/>
  <c r="AR44" i="8"/>
  <c r="AS44" i="8" s="1"/>
  <c r="AJ44" i="8" s="1"/>
  <c r="AR39" i="8"/>
  <c r="AS39" i="8" s="1"/>
  <c r="AJ39" i="8" s="1"/>
  <c r="AR18" i="8"/>
  <c r="AS18" i="8" s="1"/>
  <c r="AJ18" i="8" s="1"/>
  <c r="AR58" i="8"/>
  <c r="AS58" i="8" s="1"/>
  <c r="AJ58" i="8" s="1"/>
  <c r="AR32" i="8"/>
  <c r="AS32" i="8" s="1"/>
  <c r="AJ32" i="8" s="1"/>
  <c r="AR45" i="8"/>
  <c r="AS45" i="8" s="1"/>
  <c r="AJ45" i="8" s="1"/>
  <c r="AR52" i="8"/>
  <c r="AS52" i="8" s="1"/>
  <c r="AJ52" i="8" s="1"/>
  <c r="AR40" i="8"/>
  <c r="AS40" i="8" s="1"/>
  <c r="AJ40" i="8" s="1"/>
  <c r="AR26" i="8"/>
  <c r="AS26" i="8" s="1"/>
  <c r="AJ26" i="8" s="1"/>
  <c r="AR30" i="8"/>
  <c r="AS30" i="8" s="1"/>
  <c r="AJ30" i="8" s="1"/>
  <c r="AR16" i="8"/>
  <c r="AS16" i="8" s="1"/>
  <c r="AJ16" i="8" s="1"/>
  <c r="AR54" i="8"/>
  <c r="AS54" i="8" s="1"/>
  <c r="AJ54" i="8" s="1"/>
  <c r="AR47" i="8"/>
  <c r="AS47" i="8" s="1"/>
  <c r="AJ47" i="8" s="1"/>
  <c r="AR59" i="8"/>
  <c r="AS59" i="8" s="1"/>
  <c r="AJ59" i="8" s="1"/>
  <c r="AR31" i="8"/>
  <c r="AS31" i="8" s="1"/>
  <c r="AJ31" i="8" s="1"/>
  <c r="AR10" i="8"/>
  <c r="AS10" i="8" s="1"/>
  <c r="AJ10" i="8" s="1"/>
  <c r="AR25" i="8"/>
  <c r="AS25" i="8" s="1"/>
  <c r="AJ25" i="8" s="1"/>
  <c r="AR9" i="8"/>
  <c r="AS9" i="8" s="1"/>
  <c r="AJ9" i="8" s="1"/>
  <c r="AR46" i="8"/>
  <c r="AS46" i="8" s="1"/>
  <c r="AJ46" i="8" s="1"/>
  <c r="AR23" i="8"/>
  <c r="AS23" i="8" s="1"/>
  <c r="AJ23" i="8" s="1"/>
  <c r="AR51" i="8"/>
  <c r="AS51" i="8" s="1"/>
  <c r="AJ51" i="8" s="1"/>
  <c r="AR61" i="8"/>
  <c r="AS61" i="8" s="1"/>
  <c r="AJ61" i="8" s="1"/>
  <c r="AR11" i="8"/>
  <c r="AS11" i="8" s="1"/>
  <c r="AJ11" i="8" s="1"/>
  <c r="AR33" i="8"/>
  <c r="AS33" i="8" s="1"/>
  <c r="AJ33" i="8" s="1"/>
  <c r="AR17" i="8"/>
  <c r="AS17" i="8" s="1"/>
  <c r="AJ17" i="8" s="1"/>
  <c r="AR53" i="8"/>
  <c r="AS53" i="8" s="1"/>
  <c r="AJ53" i="8" s="1"/>
  <c r="AR60" i="8"/>
  <c r="AS60" i="8" s="1"/>
  <c r="AJ60" i="8" s="1"/>
  <c r="AB17" i="8" l="1"/>
  <c r="AB46" i="8"/>
  <c r="AB60" i="8"/>
  <c r="AB11" i="8"/>
  <c r="AB53" i="8"/>
  <c r="AB33" i="8"/>
  <c r="AB23" i="8"/>
  <c r="AB40" i="8"/>
  <c r="AB51" i="8"/>
  <c r="AB25" i="8"/>
  <c r="AB31" i="8"/>
  <c r="AB47" i="8"/>
  <c r="AB16" i="8"/>
  <c r="AB26" i="8"/>
  <c r="AB52" i="8"/>
  <c r="AB32" i="8"/>
  <c r="AB18" i="8"/>
  <c r="AB44" i="8"/>
  <c r="AB38" i="8"/>
  <c r="AB24" i="8"/>
  <c r="AB61" i="8"/>
  <c r="AB9" i="8"/>
  <c r="AB10" i="8"/>
  <c r="AB59" i="8"/>
  <c r="AB54" i="8"/>
  <c r="AB30" i="8"/>
  <c r="AB45" i="8"/>
  <c r="AB58" i="8"/>
  <c r="AB39" i="8"/>
  <c r="AB37" i="8"/>
  <c r="AB19" i="8"/>
  <c r="AB12" i="8"/>
  <c r="L23" i="8" l="1"/>
  <c r="M23" i="8"/>
  <c r="P23" i="8"/>
  <c r="P26" i="8"/>
  <c r="K23" i="8"/>
  <c r="AK11" i="10" s="1"/>
  <c r="O23" i="8"/>
  <c r="N23" i="8"/>
  <c r="K26" i="8"/>
  <c r="O24" i="8"/>
  <c r="L24" i="8"/>
  <c r="L26" i="8"/>
  <c r="K24" i="8"/>
  <c r="AK12" i="10" s="1"/>
  <c r="N25" i="8"/>
  <c r="K25" i="8"/>
  <c r="P24" i="8"/>
  <c r="O25" i="8"/>
  <c r="N26" i="8"/>
  <c r="L25" i="8"/>
  <c r="M25" i="8"/>
  <c r="M26" i="8"/>
  <c r="N24" i="8"/>
  <c r="O26" i="8"/>
  <c r="M24" i="8"/>
  <c r="P25" i="8"/>
  <c r="O40" i="8"/>
  <c r="K38" i="8"/>
  <c r="AK16" i="10" s="1"/>
  <c r="P37" i="8"/>
  <c r="L40" i="8"/>
  <c r="L38" i="8"/>
  <c r="M38" i="8"/>
  <c r="K37" i="8"/>
  <c r="AK15" i="10" s="1"/>
  <c r="N37" i="8"/>
  <c r="N40" i="8"/>
  <c r="L37" i="8"/>
  <c r="M39" i="8"/>
  <c r="L39" i="8"/>
  <c r="P39" i="8"/>
  <c r="M40" i="8"/>
  <c r="N38" i="8"/>
  <c r="P40" i="8"/>
  <c r="O37" i="8"/>
  <c r="O38" i="8"/>
  <c r="K40" i="8"/>
  <c r="M37" i="8"/>
  <c r="P38" i="8"/>
  <c r="N39" i="8"/>
  <c r="O39" i="8"/>
  <c r="K39" i="8"/>
  <c r="O58" i="8"/>
  <c r="M60" i="8"/>
  <c r="K58" i="8"/>
  <c r="AK21" i="10" s="1"/>
  <c r="O60" i="8"/>
  <c r="P59" i="8"/>
  <c r="K59" i="8"/>
  <c r="AK22" i="10" s="1"/>
  <c r="N61" i="8"/>
  <c r="O59" i="8"/>
  <c r="L58" i="8"/>
  <c r="P60" i="8"/>
  <c r="K60" i="8"/>
  <c r="M58" i="8"/>
  <c r="N58" i="8"/>
  <c r="L61" i="8"/>
  <c r="L60" i="8"/>
  <c r="O61" i="8"/>
  <c r="K61" i="8"/>
  <c r="N59" i="8"/>
  <c r="L59" i="8"/>
  <c r="M61" i="8"/>
  <c r="P61" i="8"/>
  <c r="N60" i="8"/>
  <c r="P58" i="8"/>
  <c r="M59" i="8"/>
  <c r="M31" i="8"/>
  <c r="K31" i="8"/>
  <c r="AK14" i="10" s="1"/>
  <c r="N31" i="8"/>
  <c r="K32" i="8"/>
  <c r="L33" i="8"/>
  <c r="N30" i="8"/>
  <c r="O32" i="8"/>
  <c r="O33" i="8"/>
  <c r="O30" i="8"/>
  <c r="M30" i="8"/>
  <c r="L30" i="8"/>
  <c r="M32" i="8"/>
  <c r="N33" i="8"/>
  <c r="P30" i="8"/>
  <c r="L32" i="8"/>
  <c r="O31" i="8"/>
  <c r="P31" i="8"/>
  <c r="L31" i="8"/>
  <c r="P32" i="8"/>
  <c r="K30" i="8"/>
  <c r="AK13" i="10" s="1"/>
  <c r="K33" i="8"/>
  <c r="N32" i="8"/>
  <c r="P33" i="8"/>
  <c r="M33" i="8"/>
  <c r="N9" i="8"/>
  <c r="P12" i="8"/>
  <c r="K11" i="8"/>
  <c r="N10" i="8"/>
  <c r="O10" i="8"/>
  <c r="K10" i="8"/>
  <c r="AK8" i="10" s="1"/>
  <c r="P9" i="8"/>
  <c r="L10" i="8"/>
  <c r="O12" i="8"/>
  <c r="K9" i="8"/>
  <c r="AK7" i="10" s="1"/>
  <c r="O9" i="8"/>
  <c r="M11" i="8"/>
  <c r="N11" i="8"/>
  <c r="P11" i="8"/>
  <c r="P10" i="8"/>
  <c r="O11" i="8"/>
  <c r="L9" i="8"/>
  <c r="M9" i="8"/>
  <c r="K12" i="8"/>
  <c r="L11" i="8"/>
  <c r="N12" i="8"/>
  <c r="M12" i="8"/>
  <c r="M10" i="8"/>
  <c r="L12" i="8"/>
  <c r="M44" i="8"/>
  <c r="K44" i="8"/>
  <c r="AK17" i="10" s="1"/>
  <c r="O44" i="8"/>
  <c r="P44" i="8"/>
  <c r="L47" i="8"/>
  <c r="M47" i="8"/>
  <c r="N47" i="8"/>
  <c r="N46" i="8"/>
  <c r="O47" i="8"/>
  <c r="L45" i="8"/>
  <c r="N45" i="8"/>
  <c r="K46" i="8"/>
  <c r="M45" i="8"/>
  <c r="O46" i="8"/>
  <c r="P47" i="8"/>
  <c r="N44" i="8"/>
  <c r="L44" i="8"/>
  <c r="P46" i="8"/>
  <c r="K47" i="8"/>
  <c r="K45" i="8"/>
  <c r="AK18" i="10" s="1"/>
  <c r="M46" i="8"/>
  <c r="O45" i="8"/>
  <c r="P45" i="8"/>
  <c r="L46" i="8"/>
  <c r="K17" i="8"/>
  <c r="AK10" i="10" s="1"/>
  <c r="N17" i="8"/>
  <c r="P17" i="8"/>
  <c r="O17" i="8"/>
  <c r="M19" i="8"/>
  <c r="P16" i="8"/>
  <c r="O18" i="8"/>
  <c r="M18" i="8"/>
  <c r="L18" i="8"/>
  <c r="K19" i="8"/>
  <c r="P19" i="8"/>
  <c r="P18" i="8"/>
  <c r="N18" i="8"/>
  <c r="O16" i="8"/>
  <c r="M17" i="8"/>
  <c r="L17" i="8"/>
  <c r="K16" i="8"/>
  <c r="AK9" i="10" s="1"/>
  <c r="K18" i="8"/>
  <c r="N16" i="8"/>
  <c r="L19" i="8"/>
  <c r="N19" i="8"/>
  <c r="L16" i="8"/>
  <c r="M16" i="8"/>
  <c r="O19" i="8"/>
  <c r="P51" i="8"/>
  <c r="N52" i="8"/>
  <c r="L54" i="8"/>
  <c r="P53" i="8"/>
  <c r="K52" i="8"/>
  <c r="AK20" i="10" s="1"/>
  <c r="K51" i="8"/>
  <c r="AK19" i="10" s="1"/>
  <c r="K54" i="8"/>
  <c r="M53" i="8"/>
  <c r="L52" i="8"/>
  <c r="O53" i="8"/>
  <c r="P52" i="8"/>
  <c r="O52" i="8"/>
  <c r="K53" i="8"/>
  <c r="M52" i="8"/>
  <c r="O54" i="8"/>
  <c r="M54" i="8"/>
  <c r="N54" i="8"/>
  <c r="N53" i="8"/>
  <c r="L51" i="8"/>
  <c r="O51" i="8"/>
  <c r="P54" i="8"/>
  <c r="N51" i="8"/>
  <c r="L53" i="8"/>
  <c r="M51" i="8"/>
  <c r="AL7" i="10" l="1"/>
  <c r="AJ19" i="10" l="1"/>
  <c r="AJ14" i="10"/>
  <c r="AJ11" i="10"/>
  <c r="AJ16" i="10"/>
  <c r="AJ15" i="10"/>
  <c r="AJ7" i="10"/>
  <c r="AJ8" i="10"/>
  <c r="AJ13" i="10"/>
  <c r="AJ17" i="10"/>
  <c r="AJ22" i="10"/>
  <c r="AJ21" i="10"/>
  <c r="AJ9" i="10"/>
  <c r="AJ10" i="10"/>
  <c r="AJ12" i="10"/>
  <c r="AJ18" i="10"/>
  <c r="AJ20" i="10"/>
</calcChain>
</file>

<file path=xl/sharedStrings.xml><?xml version="1.0" encoding="utf-8"?>
<sst xmlns="http://schemas.openxmlformats.org/spreadsheetml/2006/main" count="972" uniqueCount="409">
  <si>
    <t>BETA Version</t>
  </si>
  <si>
    <t>Place</t>
  </si>
  <si>
    <t>Win</t>
  </si>
  <si>
    <t>Draw</t>
  </si>
  <si>
    <t>Lose</t>
  </si>
  <si>
    <t>Sep</t>
  </si>
  <si>
    <t>Oct</t>
  </si>
  <si>
    <t>Nov</t>
  </si>
  <si>
    <t>Dec</t>
  </si>
  <si>
    <t>Arsenal</t>
  </si>
  <si>
    <t>Chelsea</t>
  </si>
  <si>
    <t>Liverpool</t>
  </si>
  <si>
    <t>Man. United</t>
  </si>
  <si>
    <t>F</t>
  </si>
  <si>
    <t>A</t>
  </si>
  <si>
    <t>Pnt</t>
  </si>
  <si>
    <t>R</t>
  </si>
  <si>
    <t>GMT + 2:00</t>
  </si>
  <si>
    <t>GMT - 11:00</t>
  </si>
  <si>
    <t>GMT - 10:00</t>
  </si>
  <si>
    <t>GMT - 9:00</t>
  </si>
  <si>
    <t>GMT - 8:00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</si>
  <si>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</si>
  <si>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</si>
  <si>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</si>
  <si>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</si>
  <si>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</si>
  <si>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</si>
  <si>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</si>
  <si>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</t>
  </si>
  <si>
    <t>GMT + 1:00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</si>
  <si>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</si>
  <si>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</si>
  <si>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</si>
  <si>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</si>
  <si>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</si>
  <si>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</si>
  <si>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</si>
  <si>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</si>
  <si>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</si>
  <si>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</si>
  <si>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Barcelona</t>
  </si>
  <si>
    <t>Real Madrid</t>
  </si>
  <si>
    <t>Dynamo Kyiv</t>
  </si>
  <si>
    <t>Lyon</t>
  </si>
  <si>
    <t>Porto</t>
  </si>
  <si>
    <t>Internazionale</t>
  </si>
  <si>
    <t>English</t>
  </si>
  <si>
    <t>Français</t>
  </si>
  <si>
    <t>Deutsch</t>
  </si>
  <si>
    <t>Español</t>
  </si>
  <si>
    <t>Italiano</t>
  </si>
  <si>
    <t>Português</t>
  </si>
  <si>
    <t>Русский</t>
  </si>
  <si>
    <t>Equipe</t>
  </si>
  <si>
    <t>Mannschaft</t>
  </si>
  <si>
    <t>Equipo</t>
  </si>
  <si>
    <t>Squadra</t>
  </si>
  <si>
    <t>Equipa</t>
  </si>
  <si>
    <t>Команда</t>
  </si>
  <si>
    <t>J</t>
  </si>
  <si>
    <t>Sp.</t>
  </si>
  <si>
    <t>G</t>
  </si>
  <si>
    <t>Игр</t>
  </si>
  <si>
    <t>V</t>
  </si>
  <si>
    <t>S</t>
  </si>
  <si>
    <t>В</t>
  </si>
  <si>
    <t>N</t>
  </si>
  <si>
    <t>U</t>
  </si>
  <si>
    <t>E</t>
  </si>
  <si>
    <t>P</t>
  </si>
  <si>
    <t>Н</t>
  </si>
  <si>
    <t>D</t>
  </si>
  <si>
    <t>П</t>
  </si>
  <si>
    <t>BP - BC</t>
  </si>
  <si>
    <t>ET - KT</t>
  </si>
  <si>
    <t>GF - GC</t>
  </si>
  <si>
    <t>RF - RS</t>
  </si>
  <si>
    <t>GM - GS</t>
  </si>
  <si>
    <t>ЗГ - ПГ</t>
  </si>
  <si>
    <t>Pts</t>
  </si>
  <si>
    <t>Pkt</t>
  </si>
  <si>
    <t>Ptos</t>
  </si>
  <si>
    <t>Pti</t>
  </si>
  <si>
    <t>Очки</t>
  </si>
  <si>
    <t>Date</t>
  </si>
  <si>
    <t>Datum</t>
  </si>
  <si>
    <t>Fecha</t>
  </si>
  <si>
    <t>Data</t>
  </si>
  <si>
    <t>Дата</t>
  </si>
  <si>
    <t>Home</t>
  </si>
  <si>
    <t>A domicile</t>
  </si>
  <si>
    <t>Heimspiele</t>
  </si>
  <si>
    <t>Casa</t>
  </si>
  <si>
    <t>In casa</t>
  </si>
  <si>
    <t>Дома</t>
  </si>
  <si>
    <t>Away</t>
  </si>
  <si>
    <t>A l'extérieur</t>
  </si>
  <si>
    <t>Auswärts</t>
  </si>
  <si>
    <t>Fuera</t>
  </si>
  <si>
    <t>Fuori casa</t>
  </si>
  <si>
    <t>Fora</t>
  </si>
  <si>
    <t>В гостях</t>
  </si>
  <si>
    <t>Jan</t>
  </si>
  <si>
    <t>Janv</t>
  </si>
  <si>
    <t>Ene</t>
  </si>
  <si>
    <t>Gen</t>
  </si>
  <si>
    <t>Янв</t>
  </si>
  <si>
    <t>Feb</t>
  </si>
  <si>
    <t>Févr</t>
  </si>
  <si>
    <t>Fev</t>
  </si>
  <si>
    <t>Фев</t>
  </si>
  <si>
    <t>Mar</t>
  </si>
  <si>
    <t>Mars</t>
  </si>
  <si>
    <t>Mrz</t>
  </si>
  <si>
    <t>Мар</t>
  </si>
  <si>
    <t>Apr</t>
  </si>
  <si>
    <t>Avr</t>
  </si>
  <si>
    <t>Abr</t>
  </si>
  <si>
    <t>Апр</t>
  </si>
  <si>
    <t>May</t>
  </si>
  <si>
    <t>Mai</t>
  </si>
  <si>
    <t>Mag</t>
  </si>
  <si>
    <t>Май</t>
  </si>
  <si>
    <t>Jun</t>
  </si>
  <si>
    <t>Juin</t>
  </si>
  <si>
    <t>Giu</t>
  </si>
  <si>
    <t>Июн</t>
  </si>
  <si>
    <t>Jul</t>
  </si>
  <si>
    <t>Juil</t>
  </si>
  <si>
    <t>Lug</t>
  </si>
  <si>
    <t>Июл</t>
  </si>
  <si>
    <t>Aug</t>
  </si>
  <si>
    <t>Août</t>
  </si>
  <si>
    <t>Ago</t>
  </si>
  <si>
    <t>Авг</t>
  </si>
  <si>
    <t>Sept</t>
  </si>
  <si>
    <t>Set</t>
  </si>
  <si>
    <t>Сен</t>
  </si>
  <si>
    <t>Okt</t>
  </si>
  <si>
    <t>Ott</t>
  </si>
  <si>
    <t>Out</t>
  </si>
  <si>
    <t>Окт</t>
  </si>
  <si>
    <t>Ноя</t>
  </si>
  <si>
    <t>Déc</t>
  </si>
  <si>
    <t>Dez</t>
  </si>
  <si>
    <t>Dic</t>
  </si>
  <si>
    <t>Дек</t>
  </si>
  <si>
    <t>Visit Homepage: Excely.com</t>
  </si>
  <si>
    <t>Посетите домашнюю страницу: Excely.com</t>
  </si>
  <si>
    <t>Groupe</t>
  </si>
  <si>
    <t>Gruppe</t>
  </si>
  <si>
    <t>Grupo</t>
  </si>
  <si>
    <t>Girone</t>
  </si>
  <si>
    <t>Группа</t>
  </si>
  <si>
    <t>Polish</t>
  </si>
  <si>
    <t>Wersja Beta</t>
  </si>
  <si>
    <t>Grupa</t>
  </si>
  <si>
    <t>Drużyna</t>
  </si>
  <si>
    <t>Rozegrane</t>
  </si>
  <si>
    <t>Dom</t>
  </si>
  <si>
    <t>Wyjazd</t>
  </si>
  <si>
    <t>Maj</t>
  </si>
  <si>
    <t>Odwiedź stronę domową: Excely.com</t>
  </si>
  <si>
    <t>Zw</t>
  </si>
  <si>
    <t>Re</t>
  </si>
  <si>
    <t>Prz</t>
  </si>
  <si>
    <t>RB</t>
  </si>
  <si>
    <t>Sty</t>
  </si>
  <si>
    <t>Lut</t>
  </si>
  <si>
    <t>Kwi</t>
  </si>
  <si>
    <t>Cze</t>
  </si>
  <si>
    <t>Lip</t>
  </si>
  <si>
    <t>Się</t>
  </si>
  <si>
    <t>Wrz</t>
  </si>
  <si>
    <t>Paź</t>
  </si>
  <si>
    <t>Lis</t>
  </si>
  <si>
    <t>Gru</t>
  </si>
  <si>
    <t>Runner-Up</t>
  </si>
  <si>
    <t>vs</t>
  </si>
  <si>
    <t>First Knockout Round</t>
  </si>
  <si>
    <t>Final</t>
  </si>
  <si>
    <t>1/8</t>
  </si>
  <si>
    <t>1/4</t>
  </si>
  <si>
    <t>Second Round 1 Winner</t>
  </si>
  <si>
    <t>Second Round 2 Winner</t>
  </si>
  <si>
    <t>Second Round 3 Winner</t>
  </si>
  <si>
    <t>Second Round 4 Winner</t>
  </si>
  <si>
    <t>Second Round 5 Winner</t>
  </si>
  <si>
    <t>Second Round 6 Winner</t>
  </si>
  <si>
    <t>Second Round 7 Winner</t>
  </si>
  <si>
    <t>Second Round 8 Winner</t>
  </si>
  <si>
    <t>Quarter Final 1 Winner</t>
  </si>
  <si>
    <t>Quarter Final 2 Winner</t>
  </si>
  <si>
    <t>Quarter Final 3 Winner</t>
  </si>
  <si>
    <t>Quarter Final 4 Winner</t>
  </si>
  <si>
    <t>Semi Final 1 Winner</t>
  </si>
  <si>
    <t>Semi Final 2 Winner</t>
  </si>
  <si>
    <t>Vainqueur du Huitième de Finale 1</t>
  </si>
  <si>
    <t>Vainqueur du Huitième de Finale 2</t>
  </si>
  <si>
    <t>Vainqueur du Huitième de Finale 3</t>
  </si>
  <si>
    <t>Vainqueur du Huitième de Finale 4</t>
  </si>
  <si>
    <t>Vainqueur du Huitièmesde Finale 5</t>
  </si>
  <si>
    <t>Vainqueur du Huitième de Finale 6</t>
  </si>
  <si>
    <t>Vainqueur du Huitième de Finale 7</t>
  </si>
  <si>
    <t>Vainqueur du Huitième de Finale 8</t>
  </si>
  <si>
    <t>Vainqueur du Quart de Finale 1</t>
  </si>
  <si>
    <t>Vainqueur du Quart de Finale 2</t>
  </si>
  <si>
    <t>Vainqueur du Quart de Finale 3</t>
  </si>
  <si>
    <t>Vainqueur du Quart de Finale 4</t>
  </si>
  <si>
    <t>Vainqueur de la Demi-Finale 1</t>
  </si>
  <si>
    <t>Vainqueur de la Demi-Finale 2</t>
  </si>
  <si>
    <t>Sieger Achtelfinale 1</t>
  </si>
  <si>
    <t>Sieger Achtelfinale 2</t>
  </si>
  <si>
    <t>Sieger Achtelfinale 3</t>
  </si>
  <si>
    <t>Sieger Achtelfinale 4</t>
  </si>
  <si>
    <t>Sieger Achtelfinale 5</t>
  </si>
  <si>
    <t>Sieger Achtelfinale 6</t>
  </si>
  <si>
    <t>Sieger Achtelfinale 7</t>
  </si>
  <si>
    <t>Sieger Achtelfinale 8</t>
  </si>
  <si>
    <t>Sieger Viertelfinale 1</t>
  </si>
  <si>
    <t>Sieger Viertelfinale 2</t>
  </si>
  <si>
    <t>Sieger Viertelfinale 3</t>
  </si>
  <si>
    <t>Sieger Viertelfinale 4</t>
  </si>
  <si>
    <t>Sieger Halbfinale 1</t>
  </si>
  <si>
    <t>Sieger Halbfinale 2</t>
  </si>
  <si>
    <t>Ganador partido 1A vs 2B</t>
  </si>
  <si>
    <t>Ganador partido 1C vs 2D</t>
  </si>
  <si>
    <t>Ganador partido 1B vs 2A</t>
  </si>
  <si>
    <t>Ganador partido 1D vs 2C</t>
  </si>
  <si>
    <t>Ganador partido 1E vs 2F</t>
  </si>
  <si>
    <t>Ganador partido 1G vs 2H</t>
  </si>
  <si>
    <t>Ganador partido 1F vs 2E</t>
  </si>
  <si>
    <t>Ganador partido 1H vs 2G</t>
  </si>
  <si>
    <t>Primer semifinalista</t>
  </si>
  <si>
    <t>Segundo semifinalista</t>
  </si>
  <si>
    <t>Tercer semifinalista</t>
  </si>
  <si>
    <t>Cuarto semifinalista</t>
  </si>
  <si>
    <t>Finalista</t>
  </si>
  <si>
    <t>Vincitrice Ottavo di Finale 1</t>
  </si>
  <si>
    <t>Vincitrice Ottavo di Finale 2</t>
  </si>
  <si>
    <t>Vincitrice Ottavo di Finale 3</t>
  </si>
  <si>
    <t>Vincitrice Ottavo di Finale 4</t>
  </si>
  <si>
    <t>Vincitrice Ottavo di Finale 5</t>
  </si>
  <si>
    <t>Vincitrice Ottavo di Finale 6</t>
  </si>
  <si>
    <t>Vincitrice Ottavo di Finale 7</t>
  </si>
  <si>
    <t>Vincitrice Ottavo di Finale 8</t>
  </si>
  <si>
    <t>Vincitrice Quarto di Finale 1</t>
  </si>
  <si>
    <t>Vincitrice Quarto di Finale 2</t>
  </si>
  <si>
    <t>Vincitrice Quarto di Finale 3</t>
  </si>
  <si>
    <t>Vincitrice Quarto di Finale 4</t>
  </si>
  <si>
    <t>Vincitrice Semi Finale 1</t>
  </si>
  <si>
    <t>Vincitrice Semi Finale 2</t>
  </si>
  <si>
    <t>Oitavas de Final 1 Vencedor</t>
  </si>
  <si>
    <t>Oitavas de Final 2 Vencedor</t>
  </si>
  <si>
    <t>Oitavas de Final 3 Vencedor</t>
  </si>
  <si>
    <t>Oitavas de Final 4 Vencedor</t>
  </si>
  <si>
    <t>Oitavas de Final 5 Vencedor</t>
  </si>
  <si>
    <t>Oitavas de Final 6 Vencedor</t>
  </si>
  <si>
    <t>Oitavas de Final 7 Vencedor</t>
  </si>
  <si>
    <t>Oitavas de Final 8 Vencedor</t>
  </si>
  <si>
    <t>Quartas de Final 1 Vencedor</t>
  </si>
  <si>
    <t>Quartas de Final 2 Vencedor</t>
  </si>
  <si>
    <t>Quartas de Final 3 Vencedor</t>
  </si>
  <si>
    <t>Quartas de Final 4 Vencedor</t>
  </si>
  <si>
    <t>Semifinal 1 Vencedor</t>
  </si>
  <si>
    <t>Semifinal 2 Vencedor</t>
  </si>
  <si>
    <t>1 Zwycięzca Rundy Drugiej</t>
  </si>
  <si>
    <t>2 Zwycięzca Rundy Drugiej</t>
  </si>
  <si>
    <t>3 Zwycięzca Rundy Drugiej</t>
  </si>
  <si>
    <t>4 Zwycięzca Rundy Drugiej</t>
  </si>
  <si>
    <t>5 Zwycięzca Rundy Drugiej</t>
  </si>
  <si>
    <t>6 Zwycięzca Rundy Drugiej</t>
  </si>
  <si>
    <t>7 Zwycięzca Rundy Drugiej</t>
  </si>
  <si>
    <t>8 Zwycięzca Rundy Drugiej</t>
  </si>
  <si>
    <t>Zwycięzca Ćwierćfinału 1</t>
  </si>
  <si>
    <t>Zwycięzca Ćwierćfinału 2</t>
  </si>
  <si>
    <t>Zwycięzca Ćwierćfinału 3</t>
  </si>
  <si>
    <t>Zwycięzca Ćwierćfinału 4</t>
  </si>
  <si>
    <t>Zwycięzca Półfinału 1</t>
  </si>
  <si>
    <t>Zwycięzca Półfinału 2</t>
  </si>
  <si>
    <t>Четвертьфиналист 1</t>
  </si>
  <si>
    <t>Четвертьфиналист 2</t>
  </si>
  <si>
    <t>Четвертьфиналист 3</t>
  </si>
  <si>
    <t>Четвертьфиналист 4</t>
  </si>
  <si>
    <t>Четвертьфиналист 5</t>
  </si>
  <si>
    <t>Четвертьфиналист 6</t>
  </si>
  <si>
    <t>Четвертьфиналист 7</t>
  </si>
  <si>
    <t>Четвертьфиналист 8</t>
  </si>
  <si>
    <t>Полуфиналист 1</t>
  </si>
  <si>
    <t>Полуфиналист 2</t>
  </si>
  <si>
    <t>Полуфиналист 3</t>
  </si>
  <si>
    <t>Полуфиналист 4</t>
  </si>
  <si>
    <t>Финалист 1</t>
  </si>
  <si>
    <t>Финалист 2</t>
  </si>
  <si>
    <t>1/2</t>
  </si>
  <si>
    <t>Runda druga</t>
  </si>
  <si>
    <t>Одна-восьмая финала</t>
  </si>
  <si>
    <t>Quarter Finals</t>
  </si>
  <si>
    <t>Ćwierćfinały</t>
  </si>
  <si>
    <t>Четвертьфиналы</t>
  </si>
  <si>
    <t>Semi Finals</t>
  </si>
  <si>
    <t>Semifinales</t>
  </si>
  <si>
    <t>Semifinali</t>
  </si>
  <si>
    <t>Półfinały</t>
  </si>
  <si>
    <t>Полуфиналы</t>
  </si>
  <si>
    <t>Finale</t>
  </si>
  <si>
    <t>Finał</t>
  </si>
  <si>
    <t>Финал</t>
  </si>
  <si>
    <t>Huitièmes de finale</t>
  </si>
  <si>
    <t>Quarts de finale</t>
  </si>
  <si>
    <t>Demi-finales</t>
  </si>
  <si>
    <t>Achtelfinals</t>
  </si>
  <si>
    <t>Viertelfinals</t>
  </si>
  <si>
    <t>Halbfinals</t>
  </si>
  <si>
    <t>Endspiel</t>
  </si>
  <si>
    <t>Octavos de final</t>
  </si>
  <si>
    <t>Cuartos de final</t>
  </si>
  <si>
    <t>Ottavi di finale</t>
  </si>
  <si>
    <t>Quarti di finale</t>
  </si>
  <si>
    <t>Oitavos-de-final</t>
  </si>
  <si>
    <t>Quartos-de-final</t>
  </si>
  <si>
    <t>Meias-finais</t>
  </si>
  <si>
    <t>Marseille</t>
  </si>
  <si>
    <t>Bordeaux</t>
  </si>
  <si>
    <t>Atlético</t>
  </si>
  <si>
    <t>Fiorentina</t>
  </si>
  <si>
    <t>Bayern</t>
  </si>
  <si>
    <t>Juventus</t>
  </si>
  <si>
    <t>Group</t>
  </si>
  <si>
    <t>Team</t>
  </si>
  <si>
    <t>Pld</t>
  </si>
  <si>
    <t>F - A</t>
  </si>
  <si>
    <t>Maccabi Haifa</t>
  </si>
  <si>
    <t>Zürich</t>
  </si>
  <si>
    <t>Milan</t>
  </si>
  <si>
    <t>APOEL</t>
  </si>
  <si>
    <t>Wolfsburg</t>
  </si>
  <si>
    <t>CSKA Moskva</t>
  </si>
  <si>
    <t>Beşiktaş</t>
  </si>
  <si>
    <t>Debrecen</t>
  </si>
  <si>
    <t>Rubin</t>
  </si>
  <si>
    <t>Stuttgart</t>
  </si>
  <si>
    <t>Rangers</t>
  </si>
  <si>
    <t>Sevilla</t>
  </si>
  <si>
    <t>Unirea Urziceni</t>
  </si>
  <si>
    <t>Olympiacos</t>
  </si>
  <si>
    <t>AZ</t>
  </si>
  <si>
    <t>Standard</t>
  </si>
  <si>
    <t>Bet and Win</t>
  </si>
  <si>
    <t>Ticket Shop</t>
  </si>
  <si>
    <t>AceFixtures for UEFA Champions League 2013/2014</t>
  </si>
  <si>
    <t>Champion 2013/2014</t>
  </si>
  <si>
    <t>Чемпион 2013/2014</t>
  </si>
  <si>
    <t>FC Shakhtar</t>
  </si>
  <si>
    <t>ФК Шахтер</t>
  </si>
  <si>
    <t>Манчестер Юнайтед</t>
  </si>
  <si>
    <t>Real Sociedad</t>
  </si>
  <si>
    <t>Реал Сосьедад</t>
  </si>
  <si>
    <t>Ювентус</t>
  </si>
  <si>
    <t>Galatasaray</t>
  </si>
  <si>
    <t>Галатасарай</t>
  </si>
  <si>
    <t>Реал Мадрид</t>
  </si>
  <si>
    <t>FC København</t>
  </si>
  <si>
    <t>Копенгаген</t>
  </si>
  <si>
    <t>PSG</t>
  </si>
  <si>
    <t>ПСЖ</t>
  </si>
  <si>
    <t>Benfica</t>
  </si>
  <si>
    <t>Бенфика</t>
  </si>
  <si>
    <t>Anderlecht</t>
  </si>
  <si>
    <t>Андерлехт</t>
  </si>
  <si>
    <t>Олимпиакос</t>
  </si>
  <si>
    <t>Manchester City</t>
  </si>
  <si>
    <t>Манчестер Сити</t>
  </si>
  <si>
    <t>Bayern München</t>
  </si>
  <si>
    <t>Бавария</t>
  </si>
  <si>
    <t>ЦСКА Москва</t>
  </si>
  <si>
    <t>Viktoria Plzeň</t>
  </si>
  <si>
    <t>Виктория Пльзень</t>
  </si>
  <si>
    <t>Basel</t>
  </si>
  <si>
    <t>Базель</t>
  </si>
  <si>
    <t>Schalke</t>
  </si>
  <si>
    <t>Шальке</t>
  </si>
  <si>
    <t>Steaua Bucureşti</t>
  </si>
  <si>
    <t>Стяуа</t>
  </si>
  <si>
    <t>Челси</t>
  </si>
  <si>
    <t>Borussia Dortmund</t>
  </si>
  <si>
    <t>Боруссия</t>
  </si>
  <si>
    <t>Olympique de Marseille</t>
  </si>
  <si>
    <t>Олимпик</t>
  </si>
  <si>
    <t>Арсенал</t>
  </si>
  <si>
    <t>Napoli</t>
  </si>
  <si>
    <t>Наполи</t>
  </si>
  <si>
    <t>Zenit</t>
  </si>
  <si>
    <t>Зенит</t>
  </si>
  <si>
    <t>Austria Wien</t>
  </si>
  <si>
    <t>Аустрия</t>
  </si>
  <si>
    <t>Порту</t>
  </si>
  <si>
    <t>Atlético de Madrid</t>
  </si>
  <si>
    <t>Ателтико Мадрид</t>
  </si>
  <si>
    <t>Ajax</t>
  </si>
  <si>
    <t>Аякс</t>
  </si>
  <si>
    <t>Милан</t>
  </si>
  <si>
    <t>Celtic</t>
  </si>
  <si>
    <t>Селтик</t>
  </si>
  <si>
    <t>Барселона</t>
  </si>
  <si>
    <t>Bayer 04 Leverkusen</t>
  </si>
  <si>
    <t>Байер 04</t>
  </si>
  <si>
    <t>UEFA Champions League - Online Schedule
Share score prediction with your friends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</si>
</sst>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9]d\ mmm;@"/>
    <numFmt numFmtId="165" formatCode="h:mm;@"/>
    <numFmt numFmtId="166" formatCode="[$-409]d\-mmm;@"/>
    <numFmt numFmtId="167" formatCode=";;;"/>
  </numFmts>
  <fonts count="28" x14ac:knownFonts="1">
    <font>
      <sz val="8"/>
      <name val="Arial CYR"/>
    </font>
    <font>
      <u/>
      <sz val="10"/>
      <color indexed="12"/>
      <name val="Arial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20"/>
      <name val="Tahoma"/>
      <family val="2"/>
    </font>
    <font>
      <sz val="8"/>
      <color indexed="55"/>
      <name val="Tahoma"/>
      <family val="2"/>
    </font>
    <font>
      <sz val="9"/>
      <name val="Tahoma"/>
      <family val="2"/>
      <charset val="204"/>
    </font>
    <font>
      <b/>
      <sz val="12"/>
      <name val="Tahoma"/>
      <family val="2"/>
      <charset val="204"/>
    </font>
    <font>
      <b/>
      <sz val="12"/>
      <color indexed="48"/>
      <name val="Tahoma"/>
      <family val="2"/>
      <charset val="204"/>
    </font>
    <font>
      <sz val="10"/>
      <color indexed="63"/>
      <name val="Tahoma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ahoma"/>
      <family val="2"/>
    </font>
    <font>
      <sz val="10"/>
      <color indexed="10"/>
      <name val="Arial"/>
      <family val="2"/>
      <charset val="204"/>
    </font>
    <font>
      <sz val="9"/>
      <name val="Tahoma"/>
      <family val="2"/>
    </font>
    <font>
      <sz val="10"/>
      <color indexed="9"/>
      <name val="Tahoma"/>
      <family val="2"/>
    </font>
    <font>
      <sz val="14"/>
      <name val="Tahoma"/>
      <family val="2"/>
      <charset val="204"/>
    </font>
    <font>
      <b/>
      <sz val="14"/>
      <name val="Tahoma"/>
      <family val="2"/>
      <charset val="204"/>
    </font>
    <font>
      <b/>
      <sz val="24"/>
      <name val="Tahoma"/>
      <family val="2"/>
      <charset val="204"/>
    </font>
    <font>
      <b/>
      <sz val="24"/>
      <color indexed="10"/>
      <name val="Tahoma"/>
      <family val="2"/>
      <charset val="204"/>
    </font>
    <font>
      <b/>
      <sz val="8"/>
      <name val="Arial Cyr"/>
      <charset val="204"/>
    </font>
    <font>
      <sz val="10"/>
      <name val="Arial Cyr"/>
    </font>
    <font>
      <sz val="8"/>
      <name val="Arial CYR"/>
    </font>
    <font>
      <b/>
      <sz val="10"/>
      <name val="Tahoma"/>
      <family val="2"/>
    </font>
    <font>
      <sz val="24"/>
      <color indexed="9"/>
      <name val="Tahoma"/>
      <family val="2"/>
      <charset val="204"/>
    </font>
    <font>
      <sz val="10"/>
      <color theme="0" tint="-0.249977111117893"/>
      <name val="Arial"/>
      <family val="2"/>
      <charset val="204"/>
    </font>
    <font>
      <b/>
      <sz val="12"/>
      <color theme="0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255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164" fontId="2" fillId="0" borderId="0" xfId="0" applyNumberFormat="1" applyFont="1" applyAlignment="1" applyProtection="1">
      <alignment horizontal="right" vertical="center"/>
      <protection hidden="1"/>
    </xf>
    <xf numFmtId="165" fontId="2" fillId="0" borderId="0" xfId="0" applyNumberFormat="1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left"/>
      <protection hidden="1"/>
    </xf>
    <xf numFmtId="0" fontId="6" fillId="0" borderId="0" xfId="1" applyFont="1" applyFill="1" applyBorder="1" applyAlignment="1" applyProtection="1">
      <alignment horizontal="center" vertical="center" wrapText="1"/>
      <protection hidden="1"/>
    </xf>
    <xf numFmtId="164" fontId="4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1" fontId="2" fillId="0" borderId="0" xfId="0" applyNumberFormat="1" applyFont="1" applyAlignment="1" applyProtection="1">
      <alignment vertical="center"/>
      <protection hidden="1"/>
    </xf>
    <xf numFmtId="1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10" fillId="2" borderId="0" xfId="2" applyFont="1" applyFill="1" applyAlignment="1">
      <alignment horizontal="center"/>
    </xf>
    <xf numFmtId="0" fontId="11" fillId="0" borderId="0" xfId="2" applyFont="1"/>
    <xf numFmtId="0" fontId="12" fillId="0" borderId="0" xfId="2" applyFont="1"/>
    <xf numFmtId="0" fontId="14" fillId="0" borderId="0" xfId="2" applyFont="1"/>
    <xf numFmtId="164" fontId="7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vertical="center" shrinkToFit="1"/>
      <protection hidden="1"/>
    </xf>
    <xf numFmtId="164" fontId="7" fillId="3" borderId="2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0" xfId="0" applyNumberFormat="1" applyFont="1" applyFill="1" applyBorder="1" applyAlignment="1" applyProtection="1">
      <alignment horizontal="center" vertical="center" shrinkToFit="1"/>
      <protection hidden="1"/>
    </xf>
    <xf numFmtId="0" fontId="2" fillId="0" borderId="4" xfId="0" applyFont="1" applyBorder="1" applyAlignment="1" applyProtection="1">
      <alignment vertical="center" shrinkToFit="1"/>
      <protection hidden="1"/>
    </xf>
    <xf numFmtId="0" fontId="2" fillId="0" borderId="5" xfId="0" applyFont="1" applyBorder="1" applyAlignment="1" applyProtection="1">
      <alignment horizontal="center" vertical="center" shrinkToFit="1"/>
      <protection hidden="1"/>
    </xf>
    <xf numFmtId="0" fontId="2" fillId="0" borderId="6" xfId="0" applyFont="1" applyBorder="1" applyAlignment="1" applyProtection="1">
      <alignment horizontal="center" vertical="center" shrinkToFit="1"/>
      <protection hidden="1"/>
    </xf>
    <xf numFmtId="0" fontId="2" fillId="0" borderId="7" xfId="0" applyFont="1" applyBorder="1" applyAlignment="1" applyProtection="1">
      <alignment vertical="center" shrinkToFit="1"/>
      <protection hidden="1"/>
    </xf>
    <xf numFmtId="0" fontId="2" fillId="0" borderId="8" xfId="0" applyFont="1" applyBorder="1" applyAlignment="1" applyProtection="1">
      <alignment horizontal="center" vertical="center" shrinkToFit="1"/>
      <protection hidden="1"/>
    </xf>
    <xf numFmtId="0" fontId="2" fillId="0" borderId="9" xfId="0" applyFont="1" applyBorder="1" applyAlignment="1" applyProtection="1">
      <alignment horizontal="center" vertical="center" shrinkToFit="1"/>
      <protection hidden="1"/>
    </xf>
    <xf numFmtId="165" fontId="2" fillId="0" borderId="7" xfId="0" applyNumberFormat="1" applyFont="1" applyBorder="1" applyAlignment="1" applyProtection="1">
      <alignment horizontal="center" vertical="center" shrinkToFit="1"/>
      <protection hidden="1"/>
    </xf>
    <xf numFmtId="1" fontId="2" fillId="0" borderId="8" xfId="0" applyNumberFormat="1" applyFont="1" applyBorder="1" applyAlignment="1" applyProtection="1">
      <alignment horizontal="center" vertical="center" shrinkToFit="1"/>
      <protection hidden="1"/>
    </xf>
    <xf numFmtId="165" fontId="2" fillId="0" borderId="8" xfId="0" applyNumberFormat="1" applyFont="1" applyBorder="1" applyAlignment="1" applyProtection="1">
      <alignment horizontal="center" vertical="center" shrinkToFit="1"/>
      <protection hidden="1"/>
    </xf>
    <xf numFmtId="0" fontId="2" fillId="0" borderId="10" xfId="0" applyFont="1" applyBorder="1" applyAlignment="1" applyProtection="1">
      <alignment vertical="center" shrinkToFit="1"/>
      <protection hidden="1"/>
    </xf>
    <xf numFmtId="0" fontId="2" fillId="0" borderId="11" xfId="0" applyFont="1" applyBorder="1" applyAlignment="1" applyProtection="1">
      <alignment horizontal="center" vertical="center" shrinkToFit="1"/>
      <protection hidden="1"/>
    </xf>
    <xf numFmtId="0" fontId="2" fillId="0" borderId="12" xfId="0" applyFont="1" applyBorder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horizontal="center" vertical="center" shrinkToFit="1"/>
      <protection hidden="1"/>
    </xf>
    <xf numFmtId="165" fontId="2" fillId="0" borderId="10" xfId="0" applyNumberFormat="1" applyFont="1" applyBorder="1" applyAlignment="1" applyProtection="1">
      <alignment horizontal="center" vertical="center" shrinkToFit="1"/>
      <protection hidden="1"/>
    </xf>
    <xf numFmtId="1" fontId="2" fillId="0" borderId="11" xfId="0" applyNumberFormat="1" applyFont="1" applyBorder="1" applyAlignment="1" applyProtection="1">
      <alignment horizontal="center" vertical="center" shrinkToFit="1"/>
      <protection hidden="1"/>
    </xf>
    <xf numFmtId="165" fontId="2" fillId="0" borderId="11" xfId="0" applyNumberFormat="1" applyFont="1" applyBorder="1" applyAlignment="1" applyProtection="1">
      <alignment horizontal="center" vertical="center" shrinkToFit="1"/>
      <protection hidden="1"/>
    </xf>
    <xf numFmtId="165" fontId="2" fillId="0" borderId="4" xfId="0" applyNumberFormat="1" applyFont="1" applyBorder="1" applyAlignment="1" applyProtection="1">
      <alignment horizontal="center" vertical="center" shrinkToFit="1"/>
      <protection hidden="1"/>
    </xf>
    <xf numFmtId="1" fontId="2" fillId="0" borderId="5" xfId="0" applyNumberFormat="1" applyFont="1" applyBorder="1" applyAlignment="1" applyProtection="1">
      <alignment horizontal="center" vertical="center" shrinkToFit="1"/>
      <protection hidden="1"/>
    </xf>
    <xf numFmtId="165" fontId="2" fillId="0" borderId="5" xfId="0" applyNumberFormat="1" applyFont="1" applyBorder="1" applyAlignment="1" applyProtection="1">
      <alignment horizontal="center" vertical="center" shrinkToFit="1"/>
      <protection hidden="1"/>
    </xf>
    <xf numFmtId="164" fontId="2" fillId="0" borderId="0" xfId="0" applyNumberFormat="1" applyFont="1" applyAlignment="1" applyProtection="1">
      <alignment horizontal="right" vertical="center" shrinkToFit="1"/>
      <protection hidden="1"/>
    </xf>
    <xf numFmtId="165" fontId="2" fillId="0" borderId="0" xfId="0" applyNumberFormat="1" applyFont="1" applyAlignment="1" applyProtection="1">
      <alignment vertical="center" shrinkToFit="1"/>
      <protection hidden="1"/>
    </xf>
    <xf numFmtId="1" fontId="2" fillId="0" borderId="0" xfId="0" applyNumberFormat="1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horizontal="right" vertical="center" shrinkToFit="1"/>
      <protection hidden="1"/>
    </xf>
    <xf numFmtId="0" fontId="2" fillId="0" borderId="0" xfId="0" applyFont="1" applyAlignment="1" applyProtection="1">
      <alignment horizontal="left" vertical="center" shrinkToFit="1"/>
      <protection hidden="1"/>
    </xf>
    <xf numFmtId="0" fontId="0" fillId="0" borderId="0" xfId="0" applyAlignment="1" applyProtection="1">
      <alignment shrinkToFit="1"/>
      <protection hidden="1"/>
    </xf>
    <xf numFmtId="0" fontId="9" fillId="0" borderId="13" xfId="0" applyFont="1" applyFill="1" applyBorder="1" applyAlignment="1" applyProtection="1">
      <alignment horizontal="right" vertical="center" shrinkToFit="1"/>
      <protection hidden="1"/>
    </xf>
    <xf numFmtId="0" fontId="2" fillId="0" borderId="14" xfId="0" applyFont="1" applyBorder="1" applyAlignment="1" applyProtection="1">
      <alignment horizontal="right" vertical="center" shrinkToFit="1"/>
      <protection hidden="1"/>
    </xf>
    <xf numFmtId="0" fontId="2" fillId="0" borderId="15" xfId="0" applyFont="1" applyBorder="1" applyAlignment="1" applyProtection="1">
      <alignment horizontal="right" vertical="center" shrinkToFit="1"/>
      <protection hidden="1"/>
    </xf>
    <xf numFmtId="0" fontId="2" fillId="0" borderId="16" xfId="0" applyFont="1" applyBorder="1" applyAlignment="1" applyProtection="1">
      <alignment horizontal="left" vertical="center" shrinkToFit="1"/>
      <protection hidden="1"/>
    </xf>
    <xf numFmtId="0" fontId="2" fillId="0" borderId="17" xfId="0" applyFont="1" applyBorder="1" applyAlignment="1" applyProtection="1">
      <alignment horizontal="left" vertical="center" shrinkToFit="1"/>
      <protection hidden="1"/>
    </xf>
    <xf numFmtId="0" fontId="2" fillId="0" borderId="18" xfId="0" applyFont="1" applyBorder="1" applyAlignment="1" applyProtection="1">
      <alignment horizontal="left" vertical="center" shrinkToFit="1"/>
      <protection hidden="1"/>
    </xf>
    <xf numFmtId="164" fontId="7" fillId="3" borderId="22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22" xfId="0" applyNumberFormat="1" applyFont="1" applyFill="1" applyBorder="1" applyAlignment="1" applyProtection="1">
      <alignment horizontal="right" vertical="center" shrinkToFit="1"/>
      <protection hidden="1"/>
    </xf>
    <xf numFmtId="164" fontId="7" fillId="3" borderId="23" xfId="0" applyNumberFormat="1" applyFont="1" applyFill="1" applyBorder="1" applyAlignment="1" applyProtection="1">
      <alignment horizontal="left" vertical="center" shrinkToFit="1"/>
      <protection hidden="1"/>
    </xf>
    <xf numFmtId="166" fontId="2" fillId="0" borderId="24" xfId="0" applyNumberFormat="1" applyFont="1" applyBorder="1" applyAlignment="1" applyProtection="1">
      <alignment horizontal="right" vertical="center"/>
      <protection hidden="1"/>
    </xf>
    <xf numFmtId="165" fontId="2" fillId="0" borderId="25" xfId="0" applyNumberFormat="1" applyFont="1" applyBorder="1" applyAlignment="1" applyProtection="1">
      <alignment vertical="center"/>
      <protection hidden="1"/>
    </xf>
    <xf numFmtId="1" fontId="2" fillId="0" borderId="25" xfId="0" applyNumberFormat="1" applyFont="1" applyBorder="1" applyAlignment="1" applyProtection="1">
      <alignment vertical="center"/>
      <protection hidden="1"/>
    </xf>
    <xf numFmtId="0" fontId="2" fillId="0" borderId="25" xfId="0" applyFont="1" applyBorder="1" applyAlignment="1" applyProtection="1">
      <alignment horizontal="right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left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165" fontId="2" fillId="0" borderId="0" xfId="0" applyNumberFormat="1" applyFont="1" applyBorder="1" applyAlignment="1" applyProtection="1">
      <alignment vertical="center" shrinkToFit="1"/>
      <protection hidden="1"/>
    </xf>
    <xf numFmtId="1" fontId="2" fillId="0" borderId="0" xfId="0" applyNumberFormat="1" applyFont="1" applyBorder="1" applyAlignment="1" applyProtection="1">
      <alignment vertical="center" shrinkToFit="1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165" fontId="2" fillId="0" borderId="0" xfId="0" applyNumberFormat="1" applyFont="1" applyBorder="1" applyAlignment="1" applyProtection="1">
      <alignment vertical="center"/>
      <protection hidden="1"/>
    </xf>
    <xf numFmtId="1" fontId="2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right" vertical="center"/>
      <protection hidden="1"/>
    </xf>
    <xf numFmtId="165" fontId="2" fillId="0" borderId="27" xfId="0" applyNumberFormat="1" applyFont="1" applyBorder="1" applyAlignment="1" applyProtection="1">
      <alignment vertical="center" shrinkToFit="1"/>
      <protection hidden="1"/>
    </xf>
    <xf numFmtId="1" fontId="2" fillId="0" borderId="27" xfId="0" applyNumberFormat="1" applyFont="1" applyBorder="1" applyAlignment="1" applyProtection="1">
      <alignment vertical="center" shrinkToFit="1"/>
      <protection hidden="1"/>
    </xf>
    <xf numFmtId="0" fontId="2" fillId="0" borderId="27" xfId="0" applyFont="1" applyBorder="1" applyAlignment="1" applyProtection="1">
      <alignment horizontal="right" vertical="center" shrinkToFit="1"/>
      <protection hidden="1"/>
    </xf>
    <xf numFmtId="0" fontId="2" fillId="0" borderId="27" xfId="0" applyFont="1" applyBorder="1" applyAlignment="1" applyProtection="1">
      <alignment horizontal="center" vertical="center" shrinkToFit="1"/>
      <protection hidden="1"/>
    </xf>
    <xf numFmtId="0" fontId="2" fillId="0" borderId="27" xfId="0" applyFont="1" applyBorder="1" applyAlignment="1" applyProtection="1">
      <alignment horizontal="left" vertical="center" shrinkToFit="1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2" fillId="5" borderId="24" xfId="0" applyFont="1" applyFill="1" applyBorder="1" applyAlignment="1" applyProtection="1">
      <alignment horizontal="right" vertical="center"/>
      <protection hidden="1"/>
    </xf>
    <xf numFmtId="0" fontId="2" fillId="5" borderId="28" xfId="0" applyFont="1" applyFill="1" applyBorder="1" applyAlignment="1" applyProtection="1">
      <alignment horizontal="right" vertical="center"/>
      <protection hidden="1"/>
    </xf>
    <xf numFmtId="0" fontId="2" fillId="5" borderId="0" xfId="0" applyFont="1" applyFill="1" applyAlignment="1" applyProtection="1">
      <alignment horizontal="center" vertical="center"/>
      <protection hidden="1"/>
    </xf>
    <xf numFmtId="0" fontId="2" fillId="5" borderId="0" xfId="0" applyFont="1" applyFill="1" applyAlignment="1" applyProtection="1">
      <alignment horizontal="left" vertical="center"/>
      <protection hidden="1"/>
    </xf>
    <xf numFmtId="165" fontId="2" fillId="5" borderId="0" xfId="0" applyNumberFormat="1" applyFont="1" applyFill="1" applyAlignment="1" applyProtection="1">
      <alignment vertical="center"/>
      <protection hidden="1"/>
    </xf>
    <xf numFmtId="1" fontId="2" fillId="5" borderId="0" xfId="0" applyNumberFormat="1" applyFont="1" applyFill="1" applyAlignment="1" applyProtection="1">
      <alignment vertical="center"/>
      <protection hidden="1"/>
    </xf>
    <xf numFmtId="0" fontId="2" fillId="5" borderId="0" xfId="0" applyFont="1" applyFill="1" applyAlignment="1" applyProtection="1">
      <alignment horizontal="right" vertical="center"/>
      <protection hidden="1"/>
    </xf>
    <xf numFmtId="0" fontId="2" fillId="5" borderId="29" xfId="0" applyFont="1" applyFill="1" applyBorder="1" applyAlignment="1" applyProtection="1">
      <alignment horizontal="right" vertical="center"/>
      <protection hidden="1"/>
    </xf>
    <xf numFmtId="0" fontId="2" fillId="5" borderId="27" xfId="0" applyFont="1" applyFill="1" applyBorder="1" applyAlignment="1" applyProtection="1">
      <alignment horizontal="right" vertical="center"/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27" xfId="0" applyFont="1" applyFill="1" applyBorder="1" applyAlignment="1" applyProtection="1">
      <alignment horizontal="left" vertical="center"/>
      <protection hidden="1"/>
    </xf>
    <xf numFmtId="0" fontId="2" fillId="5" borderId="0" xfId="0" applyFont="1" applyFill="1" applyBorder="1" applyAlignment="1" applyProtection="1">
      <alignment horizontal="right" vertical="center"/>
      <protection hidden="1"/>
    </xf>
    <xf numFmtId="0" fontId="2" fillId="5" borderId="0" xfId="0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 applyProtection="1">
      <alignment horizontal="left" vertical="center"/>
      <protection hidden="1"/>
    </xf>
    <xf numFmtId="0" fontId="20" fillId="5" borderId="30" xfId="0" applyFont="1" applyFill="1" applyBorder="1" applyAlignment="1" applyProtection="1">
      <alignment horizontal="center" vertical="center"/>
      <protection hidden="1"/>
    </xf>
    <xf numFmtId="0" fontId="0" fillId="0" borderId="30" xfId="0" applyBorder="1" applyProtection="1">
      <protection hidden="1"/>
    </xf>
    <xf numFmtId="0" fontId="0" fillId="0" borderId="28" xfId="0" applyBorder="1" applyProtection="1">
      <protection hidden="1"/>
    </xf>
    <xf numFmtId="0" fontId="2" fillId="0" borderId="31" xfId="0" applyFont="1" applyFill="1" applyBorder="1" applyAlignment="1" applyProtection="1">
      <alignment horizontal="center" vertical="center" shrinkToFit="1"/>
      <protection hidden="1"/>
    </xf>
    <xf numFmtId="0" fontId="2" fillId="0" borderId="8" xfId="0" applyFont="1" applyFill="1" applyBorder="1" applyAlignment="1" applyProtection="1">
      <alignment horizontal="center" vertical="center" shrinkToFit="1"/>
      <protection hidden="1"/>
    </xf>
    <xf numFmtId="0" fontId="2" fillId="0" borderId="11" xfId="0" applyFont="1" applyFill="1" applyBorder="1" applyAlignment="1" applyProtection="1">
      <alignment horizontal="center" vertical="center" shrinkToFit="1"/>
      <protection hidden="1"/>
    </xf>
    <xf numFmtId="0" fontId="0" fillId="0" borderId="29" xfId="0" applyBorder="1" applyProtection="1">
      <protection hidden="1"/>
    </xf>
    <xf numFmtId="0" fontId="0" fillId="0" borderId="32" xfId="0" applyBorder="1" applyProtection="1">
      <protection hidden="1"/>
    </xf>
    <xf numFmtId="0" fontId="0" fillId="5" borderId="25" xfId="0" applyFill="1" applyBorder="1" applyProtection="1">
      <protection hidden="1"/>
    </xf>
    <xf numFmtId="0" fontId="0" fillId="5" borderId="26" xfId="0" applyFill="1" applyBorder="1" applyProtection="1">
      <protection hidden="1"/>
    </xf>
    <xf numFmtId="0" fontId="0" fillId="5" borderId="0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0" fillId="5" borderId="0" xfId="0" applyFill="1" applyProtection="1">
      <protection hidden="1"/>
    </xf>
    <xf numFmtId="0" fontId="0" fillId="5" borderId="27" xfId="0" applyFill="1" applyBorder="1" applyProtection="1">
      <protection hidden="1"/>
    </xf>
    <xf numFmtId="0" fontId="0" fillId="5" borderId="32" xfId="0" applyFill="1" applyBorder="1" applyProtection="1">
      <protection hidden="1"/>
    </xf>
    <xf numFmtId="0" fontId="2" fillId="0" borderId="33" xfId="0" applyFont="1" applyBorder="1" applyAlignment="1" applyProtection="1">
      <alignment horizontal="left" vertical="center" shrinkToFit="1"/>
      <protection locked="0"/>
    </xf>
    <xf numFmtId="0" fontId="2" fillId="0" borderId="9" xfId="0" applyFont="1" applyBorder="1" applyAlignment="1" applyProtection="1">
      <alignment horizontal="left" vertical="center" shrinkToFit="1"/>
      <protection locked="0"/>
    </xf>
    <xf numFmtId="0" fontId="2" fillId="0" borderId="12" xfId="0" applyFont="1" applyBorder="1" applyAlignment="1" applyProtection="1">
      <alignment horizontal="left" vertical="center" shrinkToFit="1"/>
      <protection locked="0"/>
    </xf>
    <xf numFmtId="0" fontId="11" fillId="0" borderId="0" xfId="2" quotePrefix="1" applyFont="1"/>
    <xf numFmtId="0" fontId="22" fillId="6" borderId="3" xfId="0" applyFont="1" applyFill="1" applyBorder="1" applyAlignment="1" applyProtection="1">
      <alignment horizontal="center" vertical="center"/>
      <protection locked="0"/>
    </xf>
    <xf numFmtId="3" fontId="3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Protection="1">
      <protection hidden="1"/>
    </xf>
    <xf numFmtId="0" fontId="13" fillId="0" borderId="0" xfId="0" applyNumberFormat="1" applyFont="1" applyAlignment="1" applyProtection="1">
      <alignment vertical="center"/>
      <protection hidden="1"/>
    </xf>
    <xf numFmtId="0" fontId="13" fillId="0" borderId="0" xfId="0" applyNumberFormat="1" applyFont="1" applyAlignment="1" applyProtection="1">
      <alignment horizontal="center" vertical="center"/>
      <protection hidden="1"/>
    </xf>
    <xf numFmtId="0" fontId="1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0" fillId="0" borderId="0" xfId="0" applyNumberFormat="1" applyFill="1" applyProtection="1"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13" fillId="0" borderId="0" xfId="0" applyNumberFormat="1" applyFont="1" applyFill="1" applyAlignment="1" applyProtection="1">
      <alignment horizontal="center" vertical="center"/>
      <protection hidden="1"/>
    </xf>
    <xf numFmtId="0" fontId="21" fillId="0" borderId="55" xfId="0" applyNumberFormat="1" applyFont="1" applyFill="1" applyBorder="1" applyAlignment="1" applyProtection="1">
      <alignment horizontal="center"/>
      <protection hidden="1"/>
    </xf>
    <xf numFmtId="0" fontId="0" fillId="0" borderId="28" xfId="0" applyNumberFormat="1" applyFill="1" applyBorder="1" applyProtection="1">
      <protection hidden="1"/>
    </xf>
    <xf numFmtId="0" fontId="0" fillId="0" borderId="56" xfId="0" applyNumberFormat="1" applyFill="1" applyBorder="1" applyProtection="1">
      <protection hidden="1"/>
    </xf>
    <xf numFmtId="0" fontId="0" fillId="0" borderId="57" xfId="0" applyNumberFormat="1" applyFill="1" applyBorder="1" applyProtection="1">
      <protection hidden="1"/>
    </xf>
    <xf numFmtId="0" fontId="0" fillId="0" borderId="58" xfId="0" applyNumberFormat="1" applyFill="1" applyBorder="1" applyProtection="1">
      <protection hidden="1"/>
    </xf>
    <xf numFmtId="0" fontId="0" fillId="0" borderId="59" xfId="0" applyNumberFormat="1" applyFill="1" applyBorder="1" applyProtection="1">
      <protection hidden="1"/>
    </xf>
    <xf numFmtId="0" fontId="0" fillId="0" borderId="60" xfId="0" applyNumberFormat="1" applyFill="1" applyBorder="1" applyProtection="1">
      <protection hidden="1"/>
    </xf>
    <xf numFmtId="0" fontId="0" fillId="0" borderId="3" xfId="0" applyNumberFormat="1" applyFill="1" applyBorder="1" applyProtection="1">
      <protection hidden="1"/>
    </xf>
    <xf numFmtId="0" fontId="0" fillId="0" borderId="29" xfId="0" applyNumberFormat="1" applyFill="1" applyBorder="1" applyProtection="1">
      <protection hidden="1"/>
    </xf>
    <xf numFmtId="0" fontId="0" fillId="0" borderId="61" xfId="0" applyNumberFormat="1" applyFill="1" applyBorder="1" applyProtection="1">
      <protection hidden="1"/>
    </xf>
    <xf numFmtId="0" fontId="26" fillId="0" borderId="0" xfId="2" applyFont="1"/>
    <xf numFmtId="165" fontId="2" fillId="0" borderId="4" xfId="0" applyNumberFormat="1" applyFont="1" applyFill="1" applyBorder="1" applyAlignment="1" applyProtection="1">
      <alignment horizontal="center" vertical="center" shrinkToFit="1"/>
      <protection hidden="1"/>
    </xf>
    <xf numFmtId="1" fontId="2" fillId="0" borderId="5" xfId="0" applyNumberFormat="1" applyFont="1" applyFill="1" applyBorder="1" applyAlignment="1" applyProtection="1">
      <alignment horizontal="center" vertical="center" shrinkToFit="1"/>
      <protection hidden="1"/>
    </xf>
    <xf numFmtId="165" fontId="2" fillId="0" borderId="5" xfId="0" applyNumberFormat="1" applyFont="1" applyFill="1" applyBorder="1" applyAlignment="1" applyProtection="1">
      <alignment horizontal="center" vertical="center" shrinkToFit="1"/>
      <protection hidden="1"/>
    </xf>
    <xf numFmtId="165" fontId="2" fillId="0" borderId="7" xfId="0" applyNumberFormat="1" applyFont="1" applyFill="1" applyBorder="1" applyAlignment="1" applyProtection="1">
      <alignment horizontal="center" vertical="center" shrinkToFit="1"/>
      <protection hidden="1"/>
    </xf>
    <xf numFmtId="1" fontId="2" fillId="0" borderId="8" xfId="0" applyNumberFormat="1" applyFont="1" applyFill="1" applyBorder="1" applyAlignment="1" applyProtection="1">
      <alignment horizontal="center" vertical="center" shrinkToFit="1"/>
      <protection hidden="1"/>
    </xf>
    <xf numFmtId="165" fontId="2" fillId="0" borderId="8" xfId="0" applyNumberFormat="1" applyFont="1" applyFill="1" applyBorder="1" applyAlignment="1" applyProtection="1">
      <alignment horizontal="center" vertical="center" shrinkToFit="1"/>
      <protection hidden="1"/>
    </xf>
    <xf numFmtId="0" fontId="2" fillId="0" borderId="17" xfId="0" applyNumberFormat="1" applyFont="1" applyBorder="1" applyAlignment="1" applyProtection="1">
      <alignment horizontal="left" vertical="center" shrinkToFit="1"/>
      <protection hidden="1"/>
    </xf>
    <xf numFmtId="0" fontId="2" fillId="0" borderId="14" xfId="0" applyNumberFormat="1" applyFont="1" applyBorder="1" applyAlignment="1" applyProtection="1">
      <alignment horizontal="right" vertical="center" shrinkToFit="1"/>
      <protection hidden="1"/>
    </xf>
    <xf numFmtId="0" fontId="9" fillId="0" borderId="13" xfId="0" applyNumberFormat="1" applyFont="1" applyFill="1" applyBorder="1" applyAlignment="1" applyProtection="1">
      <alignment horizontal="right" vertical="center" shrinkToFit="1"/>
      <protection hidden="1"/>
    </xf>
    <xf numFmtId="0" fontId="2" fillId="0" borderId="15" xfId="0" applyNumberFormat="1" applyFont="1" applyBorder="1" applyAlignment="1" applyProtection="1">
      <alignment horizontal="right" vertical="center" shrinkToFit="1"/>
      <protection hidden="1"/>
    </xf>
    <xf numFmtId="0" fontId="2" fillId="0" borderId="13" xfId="0" applyNumberFormat="1" applyFont="1" applyBorder="1" applyAlignment="1" applyProtection="1">
      <alignment horizontal="right" vertical="center" shrinkToFit="1"/>
      <protection hidden="1"/>
    </xf>
    <xf numFmtId="0" fontId="2" fillId="0" borderId="16" xfId="0" applyNumberFormat="1" applyFont="1" applyBorder="1" applyAlignment="1" applyProtection="1">
      <alignment horizontal="left" vertical="center" shrinkToFit="1"/>
      <protection hidden="1"/>
    </xf>
    <xf numFmtId="0" fontId="2" fillId="0" borderId="18" xfId="0" applyNumberFormat="1" applyFont="1" applyBorder="1" applyAlignment="1" applyProtection="1">
      <alignment horizontal="left" vertical="center" shrinkToFit="1"/>
      <protection hidden="1"/>
    </xf>
    <xf numFmtId="0" fontId="2" fillId="0" borderId="19" xfId="0" applyNumberFormat="1" applyFont="1" applyBorder="1" applyAlignment="1" applyProtection="1">
      <alignment horizontal="left" vertical="center" shrinkToFit="1"/>
      <protection hidden="1"/>
    </xf>
    <xf numFmtId="0" fontId="2" fillId="0" borderId="20" xfId="0" applyNumberFormat="1" applyFont="1" applyBorder="1" applyAlignment="1" applyProtection="1">
      <alignment horizontal="left" vertical="center" shrinkToFit="1"/>
      <protection hidden="1"/>
    </xf>
    <xf numFmtId="0" fontId="2" fillId="0" borderId="21" xfId="0" applyNumberFormat="1" applyFont="1" applyBorder="1" applyAlignment="1" applyProtection="1">
      <alignment horizontal="left" vertical="center" shrinkToFit="1"/>
      <protection hidden="1"/>
    </xf>
    <xf numFmtId="165" fontId="2" fillId="0" borderId="10" xfId="0" applyNumberFormat="1" applyFont="1" applyFill="1" applyBorder="1" applyAlignment="1" applyProtection="1">
      <alignment horizontal="center" vertical="center" shrinkToFit="1"/>
      <protection hidden="1"/>
    </xf>
    <xf numFmtId="1" fontId="2" fillId="0" borderId="11" xfId="0" applyNumberFormat="1" applyFont="1" applyFill="1" applyBorder="1" applyAlignment="1" applyProtection="1">
      <alignment horizontal="center" vertical="center" shrinkToFit="1"/>
      <protection hidden="1"/>
    </xf>
    <xf numFmtId="165" fontId="2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2" fillId="0" borderId="20" xfId="0" applyNumberFormat="1" applyFont="1" applyFill="1" applyBorder="1" applyAlignment="1" applyProtection="1">
      <alignment horizontal="left" vertical="center" shrinkToFit="1"/>
      <protection hidden="1"/>
    </xf>
    <xf numFmtId="0" fontId="2" fillId="0" borderId="14" xfId="0" applyNumberFormat="1" applyFont="1" applyFill="1" applyBorder="1" applyAlignment="1" applyProtection="1">
      <alignment horizontal="right" vertical="center" shrinkToFit="1"/>
      <protection hidden="1"/>
    </xf>
    <xf numFmtId="0" fontId="3" fillId="9" borderId="4" xfId="0" applyFont="1" applyFill="1" applyBorder="1" applyAlignment="1" applyProtection="1">
      <alignment horizontal="center" vertical="center" shrinkToFit="1"/>
      <protection locked="0"/>
    </xf>
    <xf numFmtId="0" fontId="3" fillId="9" borderId="6" xfId="0" applyFont="1" applyFill="1" applyBorder="1" applyAlignment="1" applyProtection="1">
      <alignment horizontal="center" vertical="center" shrinkToFit="1"/>
      <protection locked="0"/>
    </xf>
    <xf numFmtId="0" fontId="3" fillId="9" borderId="7" xfId="0" applyFont="1" applyFill="1" applyBorder="1" applyAlignment="1" applyProtection="1">
      <alignment horizontal="center" vertical="center" shrinkToFit="1"/>
      <protection locked="0"/>
    </xf>
    <xf numFmtId="0" fontId="3" fillId="9" borderId="9" xfId="0" applyFont="1" applyFill="1" applyBorder="1" applyAlignment="1" applyProtection="1">
      <alignment horizontal="center" vertical="center" shrinkToFit="1"/>
      <protection locked="0"/>
    </xf>
    <xf numFmtId="0" fontId="3" fillId="9" borderId="10" xfId="0" applyFont="1" applyFill="1" applyBorder="1" applyAlignment="1" applyProtection="1">
      <alignment horizontal="center" vertical="center" shrinkToFit="1"/>
      <protection locked="0"/>
    </xf>
    <xf numFmtId="0" fontId="3" fillId="9" borderId="12" xfId="0" applyFont="1" applyFill="1" applyBorder="1" applyAlignment="1" applyProtection="1">
      <alignment horizontal="center" vertical="center" shrinkToFit="1"/>
      <protection locked="0"/>
    </xf>
    <xf numFmtId="167" fontId="24" fillId="0" borderId="0" xfId="0" applyNumberFormat="1" applyFont="1" applyFill="1" applyAlignment="1" applyProtection="1">
      <alignment horizontal="center" vertical="center"/>
      <protection hidden="1"/>
    </xf>
    <xf numFmtId="167" fontId="13" fillId="0" borderId="0" xfId="0" applyNumberFormat="1" applyFont="1" applyFill="1" applyAlignment="1" applyProtection="1">
      <alignment vertical="center"/>
      <protection hidden="1"/>
    </xf>
    <xf numFmtId="167" fontId="13" fillId="0" borderId="0" xfId="0" applyNumberFormat="1" applyFont="1" applyFill="1" applyAlignment="1" applyProtection="1">
      <alignment horizontal="center" vertical="center"/>
      <protection hidden="1"/>
    </xf>
    <xf numFmtId="167" fontId="2" fillId="0" borderId="0" xfId="0" applyNumberFormat="1" applyFont="1" applyFill="1" applyAlignment="1" applyProtection="1">
      <alignment vertical="center"/>
      <protection hidden="1"/>
    </xf>
    <xf numFmtId="167" fontId="13" fillId="0" borderId="0" xfId="2" applyNumberFormat="1" applyFont="1" applyFill="1" applyAlignment="1" applyProtection="1">
      <alignment vertical="center"/>
      <protection hidden="1"/>
    </xf>
    <xf numFmtId="167" fontId="11" fillId="0" borderId="0" xfId="2" applyNumberFormat="1" applyFont="1" applyFill="1"/>
    <xf numFmtId="166" fontId="7" fillId="2" borderId="38" xfId="0" applyNumberFormat="1" applyFont="1" applyFill="1" applyBorder="1" applyAlignment="1" applyProtection="1">
      <alignment horizontal="center" vertical="center" textRotation="90" shrinkToFit="1"/>
      <protection hidden="1"/>
    </xf>
    <xf numFmtId="166" fontId="7" fillId="2" borderId="39" xfId="0" applyNumberFormat="1" applyFont="1" applyFill="1" applyBorder="1" applyAlignment="1" applyProtection="1">
      <alignment horizontal="center" vertical="center" textRotation="90" shrinkToFit="1"/>
      <protection hidden="1"/>
    </xf>
    <xf numFmtId="166" fontId="7" fillId="2" borderId="40" xfId="0" applyNumberFormat="1" applyFont="1" applyFill="1" applyBorder="1" applyAlignment="1" applyProtection="1">
      <alignment horizontal="center" vertical="center" textRotation="90" shrinkToFit="1"/>
      <protection hidden="1"/>
    </xf>
    <xf numFmtId="164" fontId="7" fillId="3" borderId="36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37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1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2" xfId="0" applyNumberFormat="1" applyFont="1" applyFill="1" applyBorder="1" applyAlignment="1" applyProtection="1">
      <alignment horizontal="center" vertical="center" shrinkToFit="1"/>
      <protection hidden="1"/>
    </xf>
    <xf numFmtId="0" fontId="3" fillId="2" borderId="36" xfId="0" applyFont="1" applyFill="1" applyBorder="1" applyAlignment="1" applyProtection="1">
      <alignment horizontal="center" vertical="center" shrinkToFit="1"/>
      <protection hidden="1"/>
    </xf>
    <xf numFmtId="0" fontId="3" fillId="2" borderId="37" xfId="0" applyFont="1" applyFill="1" applyBorder="1" applyAlignment="1" applyProtection="1">
      <alignment horizontal="center" vertical="center" shrinkToFit="1"/>
      <protection hidden="1"/>
    </xf>
    <xf numFmtId="0" fontId="3" fillId="2" borderId="1" xfId="0" applyFont="1" applyFill="1" applyBorder="1" applyAlignment="1" applyProtection="1">
      <alignment horizontal="center" vertical="center" shrinkToFit="1"/>
      <protection hidden="1"/>
    </xf>
    <xf numFmtId="0" fontId="3" fillId="2" borderId="2" xfId="0" applyFont="1" applyFill="1" applyBorder="1" applyAlignment="1" applyProtection="1">
      <alignment horizontal="center" vertical="center" shrinkToFit="1"/>
      <protection hidden="1"/>
    </xf>
    <xf numFmtId="164" fontId="4" fillId="0" borderId="0" xfId="0" applyNumberFormat="1" applyFont="1" applyFill="1" applyBorder="1" applyAlignment="1" applyProtection="1">
      <alignment horizontal="center" vertical="center"/>
      <protection hidden="1"/>
    </xf>
    <xf numFmtId="166" fontId="7" fillId="2" borderId="38" xfId="0" applyNumberFormat="1" applyFont="1" applyFill="1" applyBorder="1" applyAlignment="1" applyProtection="1">
      <alignment horizontal="center" vertical="center" textRotation="180" shrinkToFit="1"/>
      <protection hidden="1"/>
    </xf>
    <xf numFmtId="166" fontId="7" fillId="2" borderId="39" xfId="0" applyNumberFormat="1" applyFont="1" applyFill="1" applyBorder="1" applyAlignment="1" applyProtection="1">
      <alignment horizontal="center" vertical="center" textRotation="180" shrinkToFit="1"/>
      <protection hidden="1"/>
    </xf>
    <xf numFmtId="166" fontId="7" fillId="2" borderId="40" xfId="0" applyNumberFormat="1" applyFont="1" applyFill="1" applyBorder="1" applyAlignment="1" applyProtection="1">
      <alignment horizontal="center" vertical="center" textRotation="180" shrinkToFit="1"/>
      <protection hidden="1"/>
    </xf>
    <xf numFmtId="0" fontId="3" fillId="3" borderId="1" xfId="0" applyFont="1" applyFill="1" applyBorder="1" applyAlignment="1" applyProtection="1">
      <alignment horizontal="center" vertical="center" shrinkToFit="1"/>
      <protection hidden="1"/>
    </xf>
    <xf numFmtId="0" fontId="3" fillId="3" borderId="2" xfId="0" applyFont="1" applyFill="1" applyBorder="1" applyAlignment="1" applyProtection="1">
      <alignment horizontal="center" vertical="center" shrinkToFit="1"/>
      <protection hidden="1"/>
    </xf>
    <xf numFmtId="0" fontId="3" fillId="3" borderId="34" xfId="0" applyFont="1" applyFill="1" applyBorder="1" applyAlignment="1" applyProtection="1">
      <alignment horizontal="center" vertical="center" shrinkToFit="1"/>
      <protection hidden="1"/>
    </xf>
    <xf numFmtId="0" fontId="3" fillId="3" borderId="35" xfId="0" applyFont="1" applyFill="1" applyBorder="1" applyAlignment="1" applyProtection="1">
      <alignment horizontal="center" vertical="center" shrinkToFit="1"/>
      <protection hidden="1"/>
    </xf>
    <xf numFmtId="164" fontId="7" fillId="3" borderId="1" xfId="0" applyNumberFormat="1" applyFont="1" applyFill="1" applyBorder="1" applyAlignment="1" applyProtection="1">
      <alignment horizontal="right" vertical="center" shrinkToFit="1"/>
      <protection hidden="1"/>
    </xf>
    <xf numFmtId="164" fontId="7" fillId="3" borderId="2" xfId="0" applyNumberFormat="1" applyFont="1" applyFill="1" applyBorder="1" applyAlignment="1" applyProtection="1">
      <alignment horizontal="right" vertical="center" shrinkToFit="1"/>
      <protection hidden="1"/>
    </xf>
    <xf numFmtId="164" fontId="7" fillId="3" borderId="1" xfId="0" applyNumberFormat="1" applyFont="1" applyFill="1" applyBorder="1" applyAlignment="1" applyProtection="1">
      <alignment horizontal="left" vertical="center" shrinkToFit="1"/>
      <protection hidden="1"/>
    </xf>
    <xf numFmtId="164" fontId="7" fillId="3" borderId="2" xfId="0" applyNumberFormat="1" applyFont="1" applyFill="1" applyBorder="1" applyAlignment="1" applyProtection="1">
      <alignment horizontal="left" vertical="center" shrinkToFit="1"/>
      <protection hidden="1"/>
    </xf>
    <xf numFmtId="0" fontId="3" fillId="2" borderId="34" xfId="0" applyFont="1" applyFill="1" applyBorder="1" applyAlignment="1" applyProtection="1">
      <alignment horizontal="center" vertical="center" shrinkToFit="1"/>
      <protection hidden="1"/>
    </xf>
    <xf numFmtId="0" fontId="3" fillId="2" borderId="35" xfId="0" applyFont="1" applyFill="1" applyBorder="1" applyAlignment="1" applyProtection="1">
      <alignment horizontal="center" vertical="center" shrinkToFit="1"/>
      <protection hidden="1"/>
    </xf>
    <xf numFmtId="164" fontId="7" fillId="3" borderId="34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35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34" xfId="0" applyNumberFormat="1" applyFont="1" applyFill="1" applyBorder="1" applyAlignment="1" applyProtection="1">
      <alignment horizontal="left" vertical="center" shrinkToFit="1"/>
      <protection hidden="1"/>
    </xf>
    <xf numFmtId="164" fontId="7" fillId="3" borderId="35" xfId="0" applyNumberFormat="1" applyFont="1" applyFill="1" applyBorder="1" applyAlignment="1" applyProtection="1">
      <alignment horizontal="left" vertical="center" shrinkToFit="1"/>
      <protection hidden="1"/>
    </xf>
    <xf numFmtId="0" fontId="27" fillId="8" borderId="62" xfId="1" applyFont="1" applyFill="1" applyBorder="1" applyAlignment="1" applyProtection="1">
      <alignment horizontal="center" vertical="center" wrapText="1"/>
      <protection hidden="1"/>
    </xf>
    <xf numFmtId="0" fontId="27" fillId="8" borderId="0" xfId="1" applyFont="1" applyFill="1" applyBorder="1" applyAlignment="1" applyProtection="1">
      <alignment horizontal="center" vertical="center" wrapText="1"/>
      <protection hidden="1"/>
    </xf>
    <xf numFmtId="0" fontId="3" fillId="3" borderId="36" xfId="0" applyFont="1" applyFill="1" applyBorder="1" applyAlignment="1" applyProtection="1">
      <alignment horizontal="center" vertical="center" shrinkToFit="1"/>
      <protection hidden="1"/>
    </xf>
    <xf numFmtId="0" fontId="3" fillId="3" borderId="37" xfId="0" applyFont="1" applyFill="1" applyBorder="1" applyAlignment="1" applyProtection="1">
      <alignment horizontal="center" vertical="center" shrinkToFit="1"/>
      <protection hidden="1"/>
    </xf>
    <xf numFmtId="0" fontId="2" fillId="0" borderId="37" xfId="0" applyFont="1" applyFill="1" applyBorder="1" applyAlignment="1" applyProtection="1">
      <alignment horizontal="center" vertical="center" shrinkToFit="1"/>
      <protection hidden="1"/>
    </xf>
    <xf numFmtId="0" fontId="2" fillId="0" borderId="2" xfId="0" applyFont="1" applyFill="1" applyBorder="1" applyAlignment="1" applyProtection="1">
      <alignment horizontal="center" vertical="center" shrinkToFit="1"/>
      <protection hidden="1"/>
    </xf>
    <xf numFmtId="0" fontId="2" fillId="0" borderId="35" xfId="0" applyFont="1" applyFill="1" applyBorder="1" applyAlignment="1" applyProtection="1">
      <alignment horizontal="center" vertical="center" shrinkToFit="1"/>
      <protection hidden="1"/>
    </xf>
    <xf numFmtId="0" fontId="2" fillId="0" borderId="7" xfId="0" applyFont="1" applyBorder="1" applyAlignment="1" applyProtection="1">
      <alignment horizontal="right" vertical="center" shrinkToFit="1"/>
      <protection locked="0"/>
    </xf>
    <xf numFmtId="0" fontId="2" fillId="0" borderId="8" xfId="0" applyFont="1" applyBorder="1" applyAlignment="1" applyProtection="1">
      <alignment horizontal="right" vertical="center" shrinkToFit="1"/>
      <protection locked="0"/>
    </xf>
    <xf numFmtId="0" fontId="3" fillId="2" borderId="47" xfId="0" applyFont="1" applyFill="1" applyBorder="1" applyAlignment="1" applyProtection="1">
      <alignment horizontal="center" vertical="center" shrinkToFit="1"/>
      <protection hidden="1"/>
    </xf>
    <xf numFmtId="0" fontId="3" fillId="2" borderId="48" xfId="0" applyFont="1" applyFill="1" applyBorder="1" applyAlignment="1" applyProtection="1">
      <alignment horizontal="center" vertical="center" shrinkToFit="1"/>
      <protection hidden="1"/>
    </xf>
    <xf numFmtId="0" fontId="3" fillId="2" borderId="49" xfId="0" applyFont="1" applyFill="1" applyBorder="1" applyAlignment="1" applyProtection="1">
      <alignment horizontal="center" vertical="center" shrinkToFit="1"/>
      <protection hidden="1"/>
    </xf>
    <xf numFmtId="0" fontId="2" fillId="0" borderId="10" xfId="0" applyFont="1" applyBorder="1" applyAlignment="1" applyProtection="1">
      <alignment horizontal="right" vertical="center" shrinkToFit="1"/>
      <protection locked="0"/>
    </xf>
    <xf numFmtId="0" fontId="2" fillId="0" borderId="11" xfId="0" applyFont="1" applyBorder="1" applyAlignment="1" applyProtection="1">
      <alignment horizontal="right" vertical="center" shrinkToFit="1"/>
      <protection locked="0"/>
    </xf>
    <xf numFmtId="0" fontId="2" fillId="0" borderId="42" xfId="0" applyFont="1" applyFill="1" applyBorder="1" applyAlignment="1" applyProtection="1">
      <alignment horizontal="center" vertical="center" shrinkToFit="1"/>
      <protection hidden="1"/>
    </xf>
    <xf numFmtId="0" fontId="2" fillId="0" borderId="43" xfId="0" applyFont="1" applyFill="1" applyBorder="1" applyAlignment="1" applyProtection="1">
      <alignment horizontal="center" vertical="center" shrinkToFit="1"/>
      <protection hidden="1"/>
    </xf>
    <xf numFmtId="0" fontId="2" fillId="0" borderId="44" xfId="0" applyFont="1" applyFill="1" applyBorder="1" applyAlignment="1" applyProtection="1">
      <alignment horizontal="center" vertical="center" shrinkToFit="1"/>
      <protection hidden="1"/>
    </xf>
    <xf numFmtId="0" fontId="8" fillId="3" borderId="52" xfId="1" applyFont="1" applyFill="1" applyBorder="1" applyAlignment="1" applyProtection="1">
      <alignment horizontal="center" vertical="center" wrapText="1"/>
      <protection hidden="1"/>
    </xf>
    <xf numFmtId="0" fontId="8" fillId="3" borderId="53" xfId="1" applyFont="1" applyFill="1" applyBorder="1" applyAlignment="1" applyProtection="1">
      <alignment horizontal="center" vertical="center" wrapText="1"/>
      <protection hidden="1"/>
    </xf>
    <xf numFmtId="0" fontId="8" fillId="3" borderId="54" xfId="1" applyFont="1" applyFill="1" applyBorder="1" applyAlignment="1" applyProtection="1">
      <alignment horizontal="center" vertical="center" wrapText="1"/>
      <protection hidden="1"/>
    </xf>
    <xf numFmtId="165" fontId="18" fillId="0" borderId="27" xfId="0" applyNumberFormat="1" applyFont="1" applyBorder="1" applyAlignment="1" applyProtection="1">
      <alignment vertical="center" shrinkToFit="1"/>
      <protection hidden="1"/>
    </xf>
    <xf numFmtId="0" fontId="2" fillId="0" borderId="46" xfId="0" applyFont="1" applyBorder="1" applyAlignment="1" applyProtection="1">
      <alignment horizontal="right" vertical="center" shrinkToFit="1"/>
      <protection locked="0"/>
    </xf>
    <xf numFmtId="0" fontId="2" fillId="0" borderId="31" xfId="0" applyFont="1" applyBorder="1" applyAlignment="1" applyProtection="1">
      <alignment horizontal="right" vertical="center" shrinkToFit="1"/>
      <protection locked="0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0" xfId="0" applyBorder="1" applyProtection="1">
      <protection hidden="1"/>
    </xf>
    <xf numFmtId="0" fontId="2" fillId="0" borderId="41" xfId="0" applyFont="1" applyFill="1" applyBorder="1" applyAlignment="1" applyProtection="1">
      <alignment horizontal="center" vertical="center" shrinkToFit="1"/>
      <protection hidden="1"/>
    </xf>
    <xf numFmtId="0" fontId="2" fillId="0" borderId="21" xfId="0" applyFont="1" applyFill="1" applyBorder="1" applyAlignment="1" applyProtection="1">
      <alignment horizontal="center" vertical="center" shrinkToFit="1"/>
      <protection hidden="1"/>
    </xf>
    <xf numFmtId="0" fontId="2" fillId="0" borderId="18" xfId="0" applyFont="1" applyFill="1" applyBorder="1" applyAlignment="1" applyProtection="1">
      <alignment horizontal="center" vertical="center" shrinkToFit="1"/>
      <protection hidden="1"/>
    </xf>
    <xf numFmtId="0" fontId="17" fillId="5" borderId="36" xfId="0" applyFont="1" applyFill="1" applyBorder="1" applyAlignment="1" applyProtection="1">
      <alignment horizontal="left" vertical="center" indent="1"/>
      <protection hidden="1"/>
    </xf>
    <xf numFmtId="0" fontId="17" fillId="5" borderId="1" xfId="0" applyFont="1" applyFill="1" applyBorder="1" applyAlignment="1" applyProtection="1">
      <alignment horizontal="left" vertical="center" indent="1"/>
      <protection hidden="1"/>
    </xf>
    <xf numFmtId="0" fontId="17" fillId="5" borderId="34" xfId="0" applyFont="1" applyFill="1" applyBorder="1" applyAlignment="1" applyProtection="1">
      <alignment horizontal="left" vertical="center" indent="1"/>
      <protection hidden="1"/>
    </xf>
    <xf numFmtId="0" fontId="17" fillId="5" borderId="37" xfId="0" applyFont="1" applyFill="1" applyBorder="1" applyAlignment="1" applyProtection="1">
      <alignment horizontal="left" vertical="center" indent="1"/>
      <protection hidden="1"/>
    </xf>
    <xf numFmtId="0" fontId="17" fillId="5" borderId="2" xfId="0" applyFont="1" applyFill="1" applyBorder="1" applyAlignment="1" applyProtection="1">
      <alignment horizontal="left" vertical="center" indent="1"/>
      <protection hidden="1"/>
    </xf>
    <xf numFmtId="0" fontId="17" fillId="5" borderId="35" xfId="0" applyFont="1" applyFill="1" applyBorder="1" applyAlignment="1" applyProtection="1">
      <alignment horizontal="left" vertical="center" indent="1"/>
      <protection hidden="1"/>
    </xf>
    <xf numFmtId="0" fontId="18" fillId="5" borderId="45" xfId="0" applyFont="1" applyFill="1" applyBorder="1" applyAlignment="1" applyProtection="1">
      <alignment horizontal="center" vertical="center"/>
      <protection hidden="1"/>
    </xf>
    <xf numFmtId="3" fontId="18" fillId="4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50" xfId="0" applyFont="1" applyFill="1" applyBorder="1" applyAlignment="1" applyProtection="1">
      <alignment horizontal="center" vertical="center" shrinkToFit="1"/>
      <protection hidden="1"/>
    </xf>
    <xf numFmtId="0" fontId="3" fillId="2" borderId="22" xfId="0" applyFont="1" applyFill="1" applyBorder="1" applyAlignment="1" applyProtection="1">
      <alignment horizontal="center" vertical="center" shrinkToFit="1"/>
      <protection hidden="1"/>
    </xf>
    <xf numFmtId="0" fontId="3" fillId="2" borderId="23" xfId="0" applyFont="1" applyFill="1" applyBorder="1" applyAlignment="1" applyProtection="1">
      <alignment horizontal="center" vertical="center" shrinkToFit="1"/>
      <protection hidden="1"/>
    </xf>
    <xf numFmtId="0" fontId="19" fillId="5" borderId="0" xfId="0" applyFont="1" applyFill="1" applyBorder="1" applyAlignment="1" applyProtection="1">
      <alignment horizontal="center" vertical="center"/>
      <protection hidden="1"/>
    </xf>
    <xf numFmtId="165" fontId="18" fillId="5" borderId="25" xfId="0" applyNumberFormat="1" applyFont="1" applyFill="1" applyBorder="1" applyAlignment="1" applyProtection="1">
      <alignment shrinkToFit="1"/>
      <protection hidden="1"/>
    </xf>
    <xf numFmtId="165" fontId="18" fillId="5" borderId="27" xfId="0" applyNumberFormat="1" applyFont="1" applyFill="1" applyBorder="1" applyAlignment="1" applyProtection="1">
      <alignment shrinkToFit="1"/>
      <protection hidden="1"/>
    </xf>
    <xf numFmtId="165" fontId="18" fillId="5" borderId="25" xfId="0" applyNumberFormat="1" applyFont="1" applyFill="1" applyBorder="1" applyAlignment="1" applyProtection="1">
      <alignment horizontal="right" shrinkToFit="1"/>
      <protection hidden="1"/>
    </xf>
    <xf numFmtId="165" fontId="18" fillId="5" borderId="27" xfId="0" applyNumberFormat="1" applyFont="1" applyFill="1" applyBorder="1" applyAlignment="1" applyProtection="1">
      <alignment horizontal="right" shrinkToFit="1"/>
      <protection hidden="1"/>
    </xf>
    <xf numFmtId="0" fontId="19" fillId="5" borderId="28" xfId="0" applyFont="1" applyFill="1" applyBorder="1" applyAlignment="1" applyProtection="1">
      <alignment horizontal="right" vertical="center"/>
      <protection hidden="1"/>
    </xf>
    <xf numFmtId="0" fontId="19" fillId="5" borderId="0" xfId="0" applyFont="1" applyFill="1" applyBorder="1" applyAlignment="1" applyProtection="1">
      <alignment horizontal="right" vertical="center"/>
      <protection hidden="1"/>
    </xf>
    <xf numFmtId="0" fontId="2" fillId="0" borderId="51" xfId="0" applyFont="1" applyFill="1" applyBorder="1" applyAlignment="1" applyProtection="1">
      <alignment horizontal="center" vertical="center" shrinkToFit="1"/>
      <protection hidden="1"/>
    </xf>
    <xf numFmtId="0" fontId="2" fillId="0" borderId="20" xfId="0" applyFont="1" applyFill="1" applyBorder="1" applyAlignment="1" applyProtection="1">
      <alignment horizontal="center" vertical="center" shrinkToFit="1"/>
      <protection hidden="1"/>
    </xf>
    <xf numFmtId="0" fontId="2" fillId="0" borderId="17" xfId="0" applyFont="1" applyFill="1" applyBorder="1" applyAlignment="1" applyProtection="1">
      <alignment horizontal="center" vertical="center" shrinkToFit="1"/>
      <protection hidden="1"/>
    </xf>
    <xf numFmtId="164" fontId="7" fillId="3" borderId="50" xfId="0" applyNumberFormat="1" applyFont="1" applyFill="1" applyBorder="1" applyAlignment="1" applyProtection="1">
      <alignment horizontal="center" vertical="center" shrinkToFit="1"/>
      <protection hidden="1"/>
    </xf>
    <xf numFmtId="164" fontId="7" fillId="3" borderId="22" xfId="0" applyNumberFormat="1" applyFont="1" applyFill="1" applyBorder="1" applyAlignment="1" applyProtection="1">
      <alignment horizontal="center" vertical="center" shrinkToFit="1"/>
      <protection hidden="1"/>
    </xf>
    <xf numFmtId="0" fontId="17" fillId="5" borderId="36" xfId="0" applyFont="1" applyFill="1" applyBorder="1" applyAlignment="1" applyProtection="1">
      <alignment horizontal="right" vertical="center" indent="1"/>
      <protection hidden="1"/>
    </xf>
    <xf numFmtId="0" fontId="17" fillId="5" borderId="1" xfId="0" applyFont="1" applyFill="1" applyBorder="1" applyAlignment="1" applyProtection="1">
      <alignment horizontal="right" vertical="center" indent="1"/>
      <protection hidden="1"/>
    </xf>
    <xf numFmtId="0" fontId="17" fillId="5" borderId="34" xfId="0" applyFont="1" applyFill="1" applyBorder="1" applyAlignment="1" applyProtection="1">
      <alignment horizontal="right" vertical="center" indent="1"/>
      <protection hidden="1"/>
    </xf>
    <xf numFmtId="0" fontId="17" fillId="5" borderId="37" xfId="0" applyFont="1" applyFill="1" applyBorder="1" applyAlignment="1" applyProtection="1">
      <alignment horizontal="right" vertical="center" indent="1"/>
      <protection hidden="1"/>
    </xf>
    <xf numFmtId="0" fontId="17" fillId="5" borderId="2" xfId="0" applyFont="1" applyFill="1" applyBorder="1" applyAlignment="1" applyProtection="1">
      <alignment horizontal="right" vertical="center" indent="1"/>
      <protection hidden="1"/>
    </xf>
    <xf numFmtId="0" fontId="17" fillId="5" borderId="35" xfId="0" applyFont="1" applyFill="1" applyBorder="1" applyAlignment="1" applyProtection="1">
      <alignment horizontal="right" vertical="center" indent="1"/>
      <protection hidden="1"/>
    </xf>
    <xf numFmtId="165" fontId="25" fillId="7" borderId="0" xfId="0" applyNumberFormat="1" applyFont="1" applyFill="1" applyAlignment="1" applyProtection="1">
      <alignment horizontal="center" vertical="center"/>
      <protection hidden="1"/>
    </xf>
    <xf numFmtId="0" fontId="21" fillId="0" borderId="52" xfId="0" applyNumberFormat="1" applyFont="1" applyFill="1" applyBorder="1" applyAlignment="1" applyProtection="1">
      <alignment horizontal="center"/>
      <protection hidden="1"/>
    </xf>
    <xf numFmtId="0" fontId="21" fillId="0" borderId="54" xfId="0" applyNumberFormat="1" applyFont="1" applyFill="1" applyBorder="1" applyAlignment="1" applyProtection="1">
      <alignment horizontal="center"/>
      <protection hidden="1"/>
    </xf>
  </cellXfs>
  <cellStyles count="3">
    <cellStyle name="Hyperlink" xfId="1" builtinId="8"/>
    <cellStyle name="Normal" xfId="0" builtinId="0"/>
    <cellStyle name="Обычный_PremierLeague" xfId="2"/>
  </cellStyles>
  <dxfs count="40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/>
      </font>
    </dxf>
    <dxf>
      <font>
        <b/>
        <i val="0"/>
        <color theme="3" tint="0.39994506668294322"/>
      </font>
    </dxf>
    <dxf>
      <font>
        <color rgb="FFFF0000"/>
      </font>
    </dxf>
    <dxf>
      <font>
        <b val="0"/>
        <i/>
      </font>
    </dxf>
    <dxf>
      <font>
        <b/>
        <i val="0"/>
        <color theme="3" tint="0.39994506668294322"/>
      </font>
    </dxf>
    <dxf>
      <font>
        <color rgb="FFFF0000"/>
      </font>
    </dxf>
    <dxf>
      <font>
        <color rgb="FFFF0000"/>
      </font>
    </dxf>
    <dxf>
      <font>
        <b val="0"/>
        <i/>
      </font>
    </dxf>
    <dxf>
      <font>
        <b/>
        <i val="0"/>
        <color theme="3" tint="0.39994506668294322"/>
      </font>
    </dxf>
    <dxf>
      <font>
        <b val="0"/>
        <i/>
        <color auto="1"/>
      </font>
    </dxf>
    <dxf>
      <font>
        <b/>
        <i val="0"/>
        <color theme="3" tint="0.39994506668294322"/>
      </font>
    </dxf>
    <dxf>
      <font>
        <color rgb="FFFF000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cely.com/" TargetMode="External"/><Relationship Id="rId7" Type="http://schemas.openxmlformats.org/officeDocument/2006/relationships/image" Target="../media/image1.png"/><Relationship Id="rId2" Type="http://schemas.openxmlformats.org/officeDocument/2006/relationships/hyperlink" Target="http://www.excely.com/" TargetMode="External"/><Relationship Id="rId1" Type="http://schemas.openxmlformats.org/officeDocument/2006/relationships/hyperlink" Target="http://www.excely.com/football/uefa-champions-league/acefixtures.html?excel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www.fanschedule.com/2013-uefa-champions-league-round1" TargetMode="External"/><Relationship Id="rId4" Type="http://schemas.openxmlformats.org/officeDocument/2006/relationships/hyperlink" Target="http://www.excely.com/football/uefa-champions-league/acefixtures.html?exce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excely.com/football/champions-leagu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10"/>
  <sheetViews>
    <sheetView zoomScale="80" workbookViewId="0">
      <pane ySplit="1" topLeftCell="A2" activePane="bottomLeft" state="frozen"/>
      <selection pane="bottomLeft" activeCell="H29" sqref="H29"/>
    </sheetView>
  </sheetViews>
  <sheetFormatPr defaultColWidth="19.83203125" defaultRowHeight="12.75" x14ac:dyDescent="0.2"/>
  <cols>
    <col min="1" max="6" width="19.83203125" style="15" customWidth="1"/>
    <col min="7" max="7" width="19.83203125" style="16" customWidth="1"/>
    <col min="8" max="16384" width="19.83203125" style="15"/>
  </cols>
  <sheetData>
    <row r="1" spans="1:8" s="14" customFormat="1" x14ac:dyDescent="0.2">
      <c r="A1" s="14" t="s">
        <v>47</v>
      </c>
      <c r="B1" s="14" t="s">
        <v>48</v>
      </c>
      <c r="C1" s="14" t="s">
        <v>49</v>
      </c>
      <c r="D1" s="14" t="s">
        <v>50</v>
      </c>
      <c r="E1" s="14" t="s">
        <v>51</v>
      </c>
      <c r="F1" s="14" t="s">
        <v>52</v>
      </c>
      <c r="G1" s="14" t="s">
        <v>155</v>
      </c>
      <c r="H1" s="14" t="s">
        <v>53</v>
      </c>
    </row>
    <row r="2" spans="1:8" x14ac:dyDescent="0.2">
      <c r="A2" s="15" t="s">
        <v>351</v>
      </c>
      <c r="B2" s="15" t="s">
        <v>351</v>
      </c>
      <c r="C2" s="15" t="s">
        <v>351</v>
      </c>
      <c r="D2" s="15" t="s">
        <v>351</v>
      </c>
      <c r="E2" s="15" t="s">
        <v>351</v>
      </c>
      <c r="F2" s="15" t="s">
        <v>351</v>
      </c>
      <c r="G2" s="15" t="s">
        <v>351</v>
      </c>
      <c r="H2" s="15" t="s">
        <v>351</v>
      </c>
    </row>
    <row r="3" spans="1:8" x14ac:dyDescent="0.2">
      <c r="A3" s="15" t="s">
        <v>0</v>
      </c>
      <c r="B3" s="15" t="s">
        <v>0</v>
      </c>
      <c r="C3" s="15" t="s">
        <v>0</v>
      </c>
      <c r="D3" s="15" t="s">
        <v>0</v>
      </c>
      <c r="E3" s="15" t="s">
        <v>0</v>
      </c>
      <c r="F3" s="15" t="s">
        <v>0</v>
      </c>
      <c r="G3" s="15" t="s">
        <v>156</v>
      </c>
      <c r="H3" s="15" t="s">
        <v>0</v>
      </c>
    </row>
    <row r="4" spans="1:8" x14ac:dyDescent="0.2">
      <c r="A4" s="15" t="s">
        <v>329</v>
      </c>
      <c r="B4" s="108" t="s">
        <v>150</v>
      </c>
      <c r="C4" s="108" t="s">
        <v>151</v>
      </c>
      <c r="D4" s="108" t="s">
        <v>152</v>
      </c>
      <c r="E4" s="108" t="s">
        <v>153</v>
      </c>
      <c r="F4" s="108" t="s">
        <v>152</v>
      </c>
      <c r="G4" s="108" t="s">
        <v>157</v>
      </c>
      <c r="H4" s="15" t="s">
        <v>154</v>
      </c>
    </row>
    <row r="5" spans="1:8" x14ac:dyDescent="0.2">
      <c r="A5" s="15" t="s">
        <v>330</v>
      </c>
      <c r="B5" s="15" t="s">
        <v>54</v>
      </c>
      <c r="C5" s="15" t="s">
        <v>55</v>
      </c>
      <c r="D5" s="15" t="s">
        <v>56</v>
      </c>
      <c r="E5" s="15" t="s">
        <v>57</v>
      </c>
      <c r="F5" s="15" t="s">
        <v>58</v>
      </c>
      <c r="G5" s="16" t="s">
        <v>158</v>
      </c>
      <c r="H5" s="15" t="s">
        <v>59</v>
      </c>
    </row>
    <row r="6" spans="1:8" x14ac:dyDescent="0.2">
      <c r="A6" s="15" t="s">
        <v>331</v>
      </c>
      <c r="B6" s="15" t="s">
        <v>60</v>
      </c>
      <c r="C6" s="15" t="s">
        <v>61</v>
      </c>
      <c r="D6" s="15" t="s">
        <v>60</v>
      </c>
      <c r="E6" s="15" t="s">
        <v>62</v>
      </c>
      <c r="F6" s="15" t="s">
        <v>60</v>
      </c>
      <c r="G6" s="16" t="s">
        <v>159</v>
      </c>
      <c r="H6" s="15" t="s">
        <v>63</v>
      </c>
    </row>
    <row r="7" spans="1:8" x14ac:dyDescent="0.2">
      <c r="A7" s="15" t="s">
        <v>2</v>
      </c>
      <c r="B7" s="15" t="s">
        <v>64</v>
      </c>
      <c r="C7" s="15" t="s">
        <v>65</v>
      </c>
      <c r="D7" s="15" t="s">
        <v>62</v>
      </c>
      <c r="E7" s="15" t="s">
        <v>64</v>
      </c>
      <c r="F7" s="15" t="s">
        <v>64</v>
      </c>
      <c r="G7" s="16" t="s">
        <v>164</v>
      </c>
      <c r="H7" s="15" t="s">
        <v>66</v>
      </c>
    </row>
    <row r="8" spans="1:8" x14ac:dyDescent="0.2">
      <c r="A8" s="15" t="s">
        <v>3</v>
      </c>
      <c r="B8" s="15" t="s">
        <v>67</v>
      </c>
      <c r="C8" s="15" t="s">
        <v>68</v>
      </c>
      <c r="D8" s="15" t="s">
        <v>69</v>
      </c>
      <c r="E8" s="15" t="s">
        <v>70</v>
      </c>
      <c r="F8" s="15" t="s">
        <v>69</v>
      </c>
      <c r="G8" s="16" t="s">
        <v>165</v>
      </c>
      <c r="H8" s="15" t="s">
        <v>71</v>
      </c>
    </row>
    <row r="9" spans="1:8" x14ac:dyDescent="0.2">
      <c r="A9" s="15" t="s">
        <v>4</v>
      </c>
      <c r="B9" s="15" t="s">
        <v>72</v>
      </c>
      <c r="C9" s="15" t="s">
        <v>67</v>
      </c>
      <c r="D9" s="15" t="s">
        <v>70</v>
      </c>
      <c r="E9" s="15" t="s">
        <v>65</v>
      </c>
      <c r="F9" s="15" t="s">
        <v>72</v>
      </c>
      <c r="G9" s="16" t="s">
        <v>166</v>
      </c>
      <c r="H9" s="15" t="s">
        <v>73</v>
      </c>
    </row>
    <row r="10" spans="1:8" x14ac:dyDescent="0.2">
      <c r="A10" s="15" t="s">
        <v>332</v>
      </c>
      <c r="B10" s="15" t="s">
        <v>74</v>
      </c>
      <c r="C10" s="15" t="s">
        <v>75</v>
      </c>
      <c r="D10" s="15" t="s">
        <v>76</v>
      </c>
      <c r="E10" s="15" t="s">
        <v>77</v>
      </c>
      <c r="F10" s="15" t="s">
        <v>78</v>
      </c>
      <c r="G10" s="16" t="s">
        <v>167</v>
      </c>
      <c r="H10" s="15" t="s">
        <v>79</v>
      </c>
    </row>
    <row r="11" spans="1:8" x14ac:dyDescent="0.2">
      <c r="A11" s="15" t="s">
        <v>80</v>
      </c>
      <c r="B11" s="15" t="s">
        <v>80</v>
      </c>
      <c r="C11" s="15" t="s">
        <v>81</v>
      </c>
      <c r="D11" s="15" t="s">
        <v>82</v>
      </c>
      <c r="E11" s="15" t="s">
        <v>83</v>
      </c>
      <c r="F11" s="15" t="s">
        <v>82</v>
      </c>
      <c r="G11" s="16" t="s">
        <v>81</v>
      </c>
      <c r="H11" s="15" t="s">
        <v>84</v>
      </c>
    </row>
    <row r="12" spans="1:8" x14ac:dyDescent="0.2">
      <c r="A12" s="15" t="s">
        <v>85</v>
      </c>
      <c r="B12" s="15" t="s">
        <v>85</v>
      </c>
      <c r="C12" s="15" t="s">
        <v>86</v>
      </c>
      <c r="D12" s="15" t="s">
        <v>87</v>
      </c>
      <c r="E12" s="15" t="s">
        <v>88</v>
      </c>
      <c r="F12" s="15" t="s">
        <v>88</v>
      </c>
      <c r="G12" s="16" t="s">
        <v>88</v>
      </c>
      <c r="H12" s="15" t="s">
        <v>89</v>
      </c>
    </row>
    <row r="13" spans="1:8" x14ac:dyDescent="0.2">
      <c r="A13" s="15" t="s">
        <v>90</v>
      </c>
      <c r="B13" s="15" t="s">
        <v>91</v>
      </c>
      <c r="C13" s="15" t="s">
        <v>92</v>
      </c>
      <c r="D13" s="15" t="s">
        <v>93</v>
      </c>
      <c r="E13" s="15" t="s">
        <v>94</v>
      </c>
      <c r="F13" s="15" t="s">
        <v>93</v>
      </c>
      <c r="G13" s="16" t="s">
        <v>160</v>
      </c>
      <c r="H13" s="15" t="s">
        <v>95</v>
      </c>
    </row>
    <row r="14" spans="1:8" x14ac:dyDescent="0.2">
      <c r="A14" s="15" t="s">
        <v>96</v>
      </c>
      <c r="B14" s="15" t="s">
        <v>97</v>
      </c>
      <c r="C14" s="15" t="s">
        <v>98</v>
      </c>
      <c r="D14" s="15" t="s">
        <v>99</v>
      </c>
      <c r="E14" s="15" t="s">
        <v>100</v>
      </c>
      <c r="F14" s="15" t="s">
        <v>101</v>
      </c>
      <c r="G14" s="16" t="s">
        <v>161</v>
      </c>
      <c r="H14" s="15" t="s">
        <v>102</v>
      </c>
    </row>
    <row r="15" spans="1:8" x14ac:dyDescent="0.2">
      <c r="A15" s="15" t="s">
        <v>103</v>
      </c>
      <c r="B15" s="15" t="s">
        <v>104</v>
      </c>
      <c r="C15" s="15" t="s">
        <v>103</v>
      </c>
      <c r="D15" s="15" t="s">
        <v>105</v>
      </c>
      <c r="E15" s="15" t="s">
        <v>106</v>
      </c>
      <c r="F15" s="15" t="s">
        <v>103</v>
      </c>
      <c r="G15" s="16" t="s">
        <v>168</v>
      </c>
      <c r="H15" s="15" t="s">
        <v>107</v>
      </c>
    </row>
    <row r="16" spans="1:8" x14ac:dyDescent="0.2">
      <c r="A16" s="15" t="s">
        <v>108</v>
      </c>
      <c r="B16" s="15" t="s">
        <v>109</v>
      </c>
      <c r="C16" s="15" t="s">
        <v>108</v>
      </c>
      <c r="D16" s="15" t="s">
        <v>108</v>
      </c>
      <c r="E16" s="15" t="s">
        <v>108</v>
      </c>
      <c r="F16" s="15" t="s">
        <v>110</v>
      </c>
      <c r="G16" s="16" t="s">
        <v>169</v>
      </c>
      <c r="H16" s="15" t="s">
        <v>111</v>
      </c>
    </row>
    <row r="17" spans="1:8" x14ac:dyDescent="0.2">
      <c r="A17" s="15" t="s">
        <v>112</v>
      </c>
      <c r="B17" s="15" t="s">
        <v>113</v>
      </c>
      <c r="C17" s="15" t="s">
        <v>114</v>
      </c>
      <c r="D17" s="15" t="s">
        <v>112</v>
      </c>
      <c r="E17" s="15" t="s">
        <v>112</v>
      </c>
      <c r="F17" s="15" t="s">
        <v>112</v>
      </c>
      <c r="G17" s="16" t="s">
        <v>112</v>
      </c>
      <c r="H17" s="15" t="s">
        <v>115</v>
      </c>
    </row>
    <row r="18" spans="1:8" x14ac:dyDescent="0.2">
      <c r="A18" s="15" t="s">
        <v>116</v>
      </c>
      <c r="B18" s="15" t="s">
        <v>117</v>
      </c>
      <c r="C18" s="15" t="s">
        <v>116</v>
      </c>
      <c r="D18" s="15" t="s">
        <v>118</v>
      </c>
      <c r="E18" s="15" t="s">
        <v>116</v>
      </c>
      <c r="F18" s="15" t="s">
        <v>118</v>
      </c>
      <c r="G18" s="16" t="s">
        <v>170</v>
      </c>
      <c r="H18" s="15" t="s">
        <v>119</v>
      </c>
    </row>
    <row r="19" spans="1:8" x14ac:dyDescent="0.2">
      <c r="A19" s="15" t="s">
        <v>120</v>
      </c>
      <c r="B19" s="15" t="s">
        <v>121</v>
      </c>
      <c r="C19" s="15" t="s">
        <v>121</v>
      </c>
      <c r="D19" s="15" t="s">
        <v>120</v>
      </c>
      <c r="E19" s="15" t="s">
        <v>122</v>
      </c>
      <c r="F19" s="15" t="s">
        <v>121</v>
      </c>
      <c r="G19" s="16" t="s">
        <v>162</v>
      </c>
      <c r="H19" s="15" t="s">
        <v>123</v>
      </c>
    </row>
    <row r="20" spans="1:8" x14ac:dyDescent="0.2">
      <c r="A20" s="15" t="s">
        <v>124</v>
      </c>
      <c r="B20" s="15" t="s">
        <v>125</v>
      </c>
      <c r="C20" s="15" t="s">
        <v>124</v>
      </c>
      <c r="D20" s="15" t="s">
        <v>124</v>
      </c>
      <c r="E20" s="15" t="s">
        <v>126</v>
      </c>
      <c r="F20" s="15" t="s">
        <v>124</v>
      </c>
      <c r="G20" s="16" t="s">
        <v>171</v>
      </c>
      <c r="H20" s="15" t="s">
        <v>127</v>
      </c>
    </row>
    <row r="21" spans="1:8" x14ac:dyDescent="0.2">
      <c r="A21" s="15" t="s">
        <v>128</v>
      </c>
      <c r="B21" s="15" t="s">
        <v>129</v>
      </c>
      <c r="C21" s="15" t="s">
        <v>128</v>
      </c>
      <c r="D21" s="15" t="s">
        <v>128</v>
      </c>
      <c r="E21" s="15" t="s">
        <v>130</v>
      </c>
      <c r="F21" s="15" t="s">
        <v>128</v>
      </c>
      <c r="G21" s="16" t="s">
        <v>172</v>
      </c>
      <c r="H21" s="15" t="s">
        <v>131</v>
      </c>
    </row>
    <row r="22" spans="1:8" x14ac:dyDescent="0.2">
      <c r="A22" s="15" t="s">
        <v>132</v>
      </c>
      <c r="B22" s="15" t="s">
        <v>133</v>
      </c>
      <c r="C22" s="15" t="s">
        <v>132</v>
      </c>
      <c r="D22" s="15" t="s">
        <v>134</v>
      </c>
      <c r="E22" s="15" t="s">
        <v>134</v>
      </c>
      <c r="F22" s="15" t="s">
        <v>134</v>
      </c>
      <c r="G22" s="16" t="s">
        <v>173</v>
      </c>
      <c r="H22" s="15" t="s">
        <v>135</v>
      </c>
    </row>
    <row r="23" spans="1:8" x14ac:dyDescent="0.2">
      <c r="A23" s="15" t="s">
        <v>5</v>
      </c>
      <c r="B23" s="15" t="s">
        <v>136</v>
      </c>
      <c r="C23" s="15" t="s">
        <v>5</v>
      </c>
      <c r="D23" s="15" t="s">
        <v>5</v>
      </c>
      <c r="E23" s="15" t="s">
        <v>137</v>
      </c>
      <c r="F23" s="15" t="s">
        <v>137</v>
      </c>
      <c r="G23" s="16" t="s">
        <v>174</v>
      </c>
      <c r="H23" s="15" t="s">
        <v>138</v>
      </c>
    </row>
    <row r="24" spans="1:8" x14ac:dyDescent="0.2">
      <c r="A24" s="15" t="s">
        <v>6</v>
      </c>
      <c r="B24" s="15" t="s">
        <v>6</v>
      </c>
      <c r="C24" s="15" t="s">
        <v>139</v>
      </c>
      <c r="D24" s="15" t="s">
        <v>6</v>
      </c>
      <c r="E24" s="15" t="s">
        <v>140</v>
      </c>
      <c r="F24" s="15" t="s">
        <v>141</v>
      </c>
      <c r="G24" s="16" t="s">
        <v>175</v>
      </c>
      <c r="H24" s="15" t="s">
        <v>142</v>
      </c>
    </row>
    <row r="25" spans="1:8" x14ac:dyDescent="0.2">
      <c r="A25" s="15" t="s">
        <v>7</v>
      </c>
      <c r="B25" s="15" t="s">
        <v>7</v>
      </c>
      <c r="C25" s="15" t="s">
        <v>7</v>
      </c>
      <c r="D25" s="15" t="s">
        <v>7</v>
      </c>
      <c r="E25" s="15" t="s">
        <v>7</v>
      </c>
      <c r="F25" s="15" t="s">
        <v>7</v>
      </c>
      <c r="G25" s="16" t="s">
        <v>176</v>
      </c>
      <c r="H25" s="15" t="s">
        <v>143</v>
      </c>
    </row>
    <row r="26" spans="1:8" x14ac:dyDescent="0.2">
      <c r="A26" s="15" t="s">
        <v>8</v>
      </c>
      <c r="B26" s="15" t="s">
        <v>144</v>
      </c>
      <c r="C26" s="15" t="s">
        <v>145</v>
      </c>
      <c r="D26" s="15" t="s">
        <v>146</v>
      </c>
      <c r="E26" s="15" t="s">
        <v>146</v>
      </c>
      <c r="F26" s="15" t="s">
        <v>145</v>
      </c>
      <c r="G26" s="16" t="s">
        <v>177</v>
      </c>
      <c r="H26" s="15" t="s">
        <v>147</v>
      </c>
    </row>
    <row r="27" spans="1:8" x14ac:dyDescent="0.2">
      <c r="A27" s="15" t="s">
        <v>354</v>
      </c>
      <c r="B27" s="15" t="s">
        <v>354</v>
      </c>
      <c r="C27" s="15" t="s">
        <v>354</v>
      </c>
      <c r="D27" s="15" t="s">
        <v>354</v>
      </c>
      <c r="E27" s="15" t="s">
        <v>354</v>
      </c>
      <c r="F27" s="15" t="s">
        <v>354</v>
      </c>
      <c r="G27" s="15" t="s">
        <v>354</v>
      </c>
      <c r="H27" s="15" t="s">
        <v>355</v>
      </c>
    </row>
    <row r="28" spans="1:8" x14ac:dyDescent="0.2">
      <c r="A28" s="15" t="s">
        <v>12</v>
      </c>
      <c r="B28" s="15" t="s">
        <v>12</v>
      </c>
      <c r="C28" s="15" t="s">
        <v>12</v>
      </c>
      <c r="D28" s="15" t="s">
        <v>12</v>
      </c>
      <c r="E28" s="15" t="s">
        <v>12</v>
      </c>
      <c r="F28" s="15" t="s">
        <v>12</v>
      </c>
      <c r="G28" s="15" t="s">
        <v>12</v>
      </c>
      <c r="H28" s="15" t="s">
        <v>356</v>
      </c>
    </row>
    <row r="29" spans="1:8" x14ac:dyDescent="0.2">
      <c r="A29" s="15" t="s">
        <v>406</v>
      </c>
      <c r="B29" s="15" t="s">
        <v>406</v>
      </c>
      <c r="C29" s="15" t="s">
        <v>406</v>
      </c>
      <c r="D29" s="15" t="s">
        <v>406</v>
      </c>
      <c r="E29" s="15" t="s">
        <v>406</v>
      </c>
      <c r="F29" s="15" t="s">
        <v>406</v>
      </c>
      <c r="G29" s="15" t="s">
        <v>406</v>
      </c>
      <c r="H29" s="15" t="s">
        <v>407</v>
      </c>
    </row>
    <row r="30" spans="1:8" x14ac:dyDescent="0.2">
      <c r="A30" s="15" t="s">
        <v>357</v>
      </c>
      <c r="B30" s="15" t="s">
        <v>357</v>
      </c>
      <c r="C30" s="15" t="s">
        <v>357</v>
      </c>
      <c r="D30" s="15" t="s">
        <v>357</v>
      </c>
      <c r="E30" s="15" t="s">
        <v>357</v>
      </c>
      <c r="F30" s="15" t="s">
        <v>357</v>
      </c>
      <c r="G30" s="15" t="s">
        <v>357</v>
      </c>
      <c r="H30" s="15" t="s">
        <v>358</v>
      </c>
    </row>
    <row r="31" spans="1:8" x14ac:dyDescent="0.2">
      <c r="A31" s="15" t="s">
        <v>328</v>
      </c>
      <c r="B31" s="15" t="s">
        <v>328</v>
      </c>
      <c r="C31" s="15" t="s">
        <v>328</v>
      </c>
      <c r="D31" s="15" t="s">
        <v>328</v>
      </c>
      <c r="E31" s="15" t="s">
        <v>328</v>
      </c>
      <c r="F31" s="15" t="s">
        <v>328</v>
      </c>
      <c r="G31" s="15" t="s">
        <v>328</v>
      </c>
      <c r="H31" s="15" t="s">
        <v>359</v>
      </c>
    </row>
    <row r="32" spans="1:8" x14ac:dyDescent="0.2">
      <c r="A32" s="15" t="s">
        <v>360</v>
      </c>
      <c r="B32" s="15" t="s">
        <v>360</v>
      </c>
      <c r="C32" s="15" t="s">
        <v>360</v>
      </c>
      <c r="D32" s="15" t="s">
        <v>360</v>
      </c>
      <c r="E32" s="15" t="s">
        <v>360</v>
      </c>
      <c r="F32" s="15" t="s">
        <v>360</v>
      </c>
      <c r="G32" s="15" t="s">
        <v>360</v>
      </c>
      <c r="H32" s="15" t="s">
        <v>361</v>
      </c>
    </row>
    <row r="33" spans="1:8" x14ac:dyDescent="0.2">
      <c r="A33" s="15" t="s">
        <v>42</v>
      </c>
      <c r="B33" s="15" t="s">
        <v>42</v>
      </c>
      <c r="C33" s="15" t="s">
        <v>42</v>
      </c>
      <c r="D33" s="15" t="s">
        <v>42</v>
      </c>
      <c r="E33" s="15" t="s">
        <v>42</v>
      </c>
      <c r="F33" s="15" t="s">
        <v>42</v>
      </c>
      <c r="G33" s="15" t="s">
        <v>42</v>
      </c>
      <c r="H33" s="15" t="s">
        <v>362</v>
      </c>
    </row>
    <row r="34" spans="1:8" x14ac:dyDescent="0.2">
      <c r="A34" s="15" t="s">
        <v>363</v>
      </c>
      <c r="B34" s="15" t="s">
        <v>363</v>
      </c>
      <c r="C34" s="15" t="s">
        <v>363</v>
      </c>
      <c r="D34" s="15" t="s">
        <v>363</v>
      </c>
      <c r="E34" s="15" t="s">
        <v>363</v>
      </c>
      <c r="F34" s="15" t="s">
        <v>363</v>
      </c>
      <c r="G34" s="15" t="s">
        <v>363</v>
      </c>
      <c r="H34" s="15" t="s">
        <v>364</v>
      </c>
    </row>
    <row r="35" spans="1:8" x14ac:dyDescent="0.2">
      <c r="A35" s="15" t="s">
        <v>365</v>
      </c>
      <c r="B35" s="15" t="s">
        <v>365</v>
      </c>
      <c r="C35" s="15" t="s">
        <v>365</v>
      </c>
      <c r="D35" s="15" t="s">
        <v>365</v>
      </c>
      <c r="E35" s="15" t="s">
        <v>365</v>
      </c>
      <c r="F35" s="15" t="s">
        <v>365</v>
      </c>
      <c r="G35" s="15" t="s">
        <v>365</v>
      </c>
      <c r="H35" s="15" t="s">
        <v>366</v>
      </c>
    </row>
    <row r="36" spans="1:8" x14ac:dyDescent="0.2">
      <c r="A36" s="15" t="s">
        <v>367</v>
      </c>
      <c r="B36" s="15" t="s">
        <v>367</v>
      </c>
      <c r="C36" s="15" t="s">
        <v>367</v>
      </c>
      <c r="D36" s="15" t="s">
        <v>367</v>
      </c>
      <c r="E36" s="15" t="s">
        <v>367</v>
      </c>
      <c r="F36" s="15" t="s">
        <v>367</v>
      </c>
      <c r="G36" s="15" t="s">
        <v>367</v>
      </c>
      <c r="H36" s="15" t="s">
        <v>368</v>
      </c>
    </row>
    <row r="37" spans="1:8" x14ac:dyDescent="0.2">
      <c r="A37" s="15" t="s">
        <v>369</v>
      </c>
      <c r="B37" s="15" t="s">
        <v>369</v>
      </c>
      <c r="C37" s="15" t="s">
        <v>369</v>
      </c>
      <c r="D37" s="15" t="s">
        <v>369</v>
      </c>
      <c r="E37" s="15" t="s">
        <v>369</v>
      </c>
      <c r="F37" s="15" t="s">
        <v>369</v>
      </c>
      <c r="G37" s="15" t="s">
        <v>369</v>
      </c>
      <c r="H37" s="15" t="s">
        <v>370</v>
      </c>
    </row>
    <row r="38" spans="1:8" x14ac:dyDescent="0.2">
      <c r="A38" s="15" t="s">
        <v>346</v>
      </c>
      <c r="B38" s="15" t="s">
        <v>346</v>
      </c>
      <c r="C38" s="15" t="s">
        <v>346</v>
      </c>
      <c r="D38" s="15" t="s">
        <v>346</v>
      </c>
      <c r="E38" s="15" t="s">
        <v>346</v>
      </c>
      <c r="F38" s="15" t="s">
        <v>346</v>
      </c>
      <c r="G38" s="15" t="s">
        <v>346</v>
      </c>
      <c r="H38" s="15" t="s">
        <v>371</v>
      </c>
    </row>
    <row r="39" spans="1:8" x14ac:dyDescent="0.2">
      <c r="A39" s="15" t="s">
        <v>372</v>
      </c>
      <c r="B39" s="15" t="s">
        <v>372</v>
      </c>
      <c r="C39" s="15" t="s">
        <v>372</v>
      </c>
      <c r="D39" s="15" t="s">
        <v>372</v>
      </c>
      <c r="E39" s="15" t="s">
        <v>372</v>
      </c>
      <c r="F39" s="15" t="s">
        <v>372</v>
      </c>
      <c r="G39" s="15" t="s">
        <v>372</v>
      </c>
      <c r="H39" s="15" t="s">
        <v>373</v>
      </c>
    </row>
    <row r="40" spans="1:8" x14ac:dyDescent="0.2">
      <c r="A40" s="15" t="s">
        <v>374</v>
      </c>
      <c r="B40" s="15" t="s">
        <v>374</v>
      </c>
      <c r="C40" s="15" t="s">
        <v>374</v>
      </c>
      <c r="D40" s="15" t="s">
        <v>374</v>
      </c>
      <c r="E40" s="15" t="s">
        <v>374</v>
      </c>
      <c r="F40" s="15" t="s">
        <v>374</v>
      </c>
      <c r="G40" s="15" t="s">
        <v>374</v>
      </c>
      <c r="H40" s="15" t="s">
        <v>375</v>
      </c>
    </row>
    <row r="41" spans="1:8" x14ac:dyDescent="0.2">
      <c r="A41" s="15" t="s">
        <v>338</v>
      </c>
      <c r="B41" s="15" t="s">
        <v>338</v>
      </c>
      <c r="C41" s="15" t="s">
        <v>338</v>
      </c>
      <c r="D41" s="15" t="s">
        <v>338</v>
      </c>
      <c r="E41" s="15" t="s">
        <v>338</v>
      </c>
      <c r="F41" s="15" t="s">
        <v>338</v>
      </c>
      <c r="G41" s="15" t="s">
        <v>338</v>
      </c>
      <c r="H41" s="15" t="s">
        <v>376</v>
      </c>
    </row>
    <row r="42" spans="1:8" x14ac:dyDescent="0.2">
      <c r="A42" s="15" t="s">
        <v>377</v>
      </c>
      <c r="B42" s="15" t="s">
        <v>377</v>
      </c>
      <c r="C42" s="15" t="s">
        <v>377</v>
      </c>
      <c r="D42" s="15" t="s">
        <v>377</v>
      </c>
      <c r="E42" s="15" t="s">
        <v>377</v>
      </c>
      <c r="F42" s="15" t="s">
        <v>377</v>
      </c>
      <c r="G42" s="15" t="s">
        <v>377</v>
      </c>
      <c r="H42" s="15" t="s">
        <v>378</v>
      </c>
    </row>
    <row r="43" spans="1:8" x14ac:dyDescent="0.2">
      <c r="A43" s="15" t="s">
        <v>379</v>
      </c>
      <c r="B43" s="15" t="s">
        <v>379</v>
      </c>
      <c r="C43" s="15" t="s">
        <v>379</v>
      </c>
      <c r="D43" s="15" t="s">
        <v>379</v>
      </c>
      <c r="E43" s="15" t="s">
        <v>379</v>
      </c>
      <c r="F43" s="15" t="s">
        <v>379</v>
      </c>
      <c r="G43" s="15" t="s">
        <v>379</v>
      </c>
      <c r="H43" s="15" t="s">
        <v>380</v>
      </c>
    </row>
    <row r="44" spans="1:8" x14ac:dyDescent="0.2">
      <c r="A44" s="15" t="s">
        <v>381</v>
      </c>
      <c r="B44" s="15" t="s">
        <v>381</v>
      </c>
      <c r="C44" s="15" t="s">
        <v>381</v>
      </c>
      <c r="D44" s="15" t="s">
        <v>381</v>
      </c>
      <c r="E44" s="15" t="s">
        <v>381</v>
      </c>
      <c r="F44" s="15" t="s">
        <v>381</v>
      </c>
      <c r="G44" s="15" t="s">
        <v>381</v>
      </c>
      <c r="H44" s="15" t="s">
        <v>382</v>
      </c>
    </row>
    <row r="45" spans="1:8" x14ac:dyDescent="0.2">
      <c r="A45" s="15" t="s">
        <v>383</v>
      </c>
      <c r="B45" s="15" t="s">
        <v>383</v>
      </c>
      <c r="C45" s="15" t="s">
        <v>383</v>
      </c>
      <c r="D45" s="15" t="s">
        <v>383</v>
      </c>
      <c r="E45" s="15" t="s">
        <v>383</v>
      </c>
      <c r="F45" s="15" t="s">
        <v>383</v>
      </c>
      <c r="G45" s="15" t="s">
        <v>383</v>
      </c>
      <c r="H45" s="15" t="s">
        <v>384</v>
      </c>
    </row>
    <row r="46" spans="1:8" x14ac:dyDescent="0.2">
      <c r="A46" s="15" t="s">
        <v>10</v>
      </c>
      <c r="B46" s="15" t="s">
        <v>10</v>
      </c>
      <c r="C46" s="15" t="s">
        <v>10</v>
      </c>
      <c r="D46" s="15" t="s">
        <v>10</v>
      </c>
      <c r="E46" s="15" t="s">
        <v>10</v>
      </c>
      <c r="F46" s="15" t="s">
        <v>10</v>
      </c>
      <c r="G46" s="15" t="s">
        <v>10</v>
      </c>
      <c r="H46" s="15" t="s">
        <v>385</v>
      </c>
    </row>
    <row r="47" spans="1:8" x14ac:dyDescent="0.2">
      <c r="A47" s="15" t="s">
        <v>386</v>
      </c>
      <c r="B47" s="15" t="s">
        <v>386</v>
      </c>
      <c r="C47" s="15" t="s">
        <v>386</v>
      </c>
      <c r="D47" s="15" t="s">
        <v>386</v>
      </c>
      <c r="E47" s="15" t="s">
        <v>386</v>
      </c>
      <c r="F47" s="15" t="s">
        <v>386</v>
      </c>
      <c r="G47" s="15" t="s">
        <v>386</v>
      </c>
      <c r="H47" s="15" t="s">
        <v>387</v>
      </c>
    </row>
    <row r="48" spans="1:8" x14ac:dyDescent="0.2">
      <c r="A48" s="15" t="s">
        <v>388</v>
      </c>
      <c r="B48" s="15" t="s">
        <v>388</v>
      </c>
      <c r="C48" s="15" t="s">
        <v>388</v>
      </c>
      <c r="D48" s="15" t="s">
        <v>388</v>
      </c>
      <c r="E48" s="15" t="s">
        <v>388</v>
      </c>
      <c r="F48" s="15" t="s">
        <v>388</v>
      </c>
      <c r="G48" s="15" t="s">
        <v>388</v>
      </c>
      <c r="H48" s="15" t="s">
        <v>389</v>
      </c>
    </row>
    <row r="49" spans="1:8" x14ac:dyDescent="0.2">
      <c r="A49" s="15" t="s">
        <v>9</v>
      </c>
      <c r="B49" s="15" t="s">
        <v>9</v>
      </c>
      <c r="C49" s="15" t="s">
        <v>9</v>
      </c>
      <c r="D49" s="15" t="s">
        <v>9</v>
      </c>
      <c r="E49" s="15" t="s">
        <v>9</v>
      </c>
      <c r="F49" s="15" t="s">
        <v>9</v>
      </c>
      <c r="G49" s="15" t="s">
        <v>9</v>
      </c>
      <c r="H49" s="15" t="s">
        <v>390</v>
      </c>
    </row>
    <row r="50" spans="1:8" x14ac:dyDescent="0.2">
      <c r="A50" s="15" t="s">
        <v>391</v>
      </c>
      <c r="B50" s="15" t="s">
        <v>391</v>
      </c>
      <c r="C50" s="15" t="s">
        <v>391</v>
      </c>
      <c r="D50" s="15" t="s">
        <v>391</v>
      </c>
      <c r="E50" s="15" t="s">
        <v>391</v>
      </c>
      <c r="F50" s="15" t="s">
        <v>391</v>
      </c>
      <c r="G50" s="15" t="s">
        <v>391</v>
      </c>
      <c r="H50" s="15" t="s">
        <v>392</v>
      </c>
    </row>
    <row r="51" spans="1:8" x14ac:dyDescent="0.2">
      <c r="A51" s="15" t="s">
        <v>393</v>
      </c>
      <c r="B51" s="15" t="s">
        <v>393</v>
      </c>
      <c r="C51" s="15" t="s">
        <v>393</v>
      </c>
      <c r="D51" s="15" t="s">
        <v>393</v>
      </c>
      <c r="E51" s="15" t="s">
        <v>393</v>
      </c>
      <c r="F51" s="15" t="s">
        <v>393</v>
      </c>
      <c r="G51" s="15" t="s">
        <v>393</v>
      </c>
      <c r="H51" s="15" t="s">
        <v>394</v>
      </c>
    </row>
    <row r="52" spans="1:8" x14ac:dyDescent="0.2">
      <c r="A52" s="15" t="s">
        <v>395</v>
      </c>
      <c r="B52" s="15" t="s">
        <v>395</v>
      </c>
      <c r="C52" s="15" t="s">
        <v>395</v>
      </c>
      <c r="D52" s="15" t="s">
        <v>395</v>
      </c>
      <c r="E52" s="15" t="s">
        <v>395</v>
      </c>
      <c r="F52" s="15" t="s">
        <v>395</v>
      </c>
      <c r="G52" s="15" t="s">
        <v>395</v>
      </c>
      <c r="H52" s="15" t="s">
        <v>396</v>
      </c>
    </row>
    <row r="53" spans="1:8" x14ac:dyDescent="0.2">
      <c r="A53" s="15" t="s">
        <v>45</v>
      </c>
      <c r="B53" s="15" t="s">
        <v>45</v>
      </c>
      <c r="C53" s="15" t="s">
        <v>45</v>
      </c>
      <c r="D53" s="15" t="s">
        <v>45</v>
      </c>
      <c r="E53" s="15" t="s">
        <v>45</v>
      </c>
      <c r="F53" s="15" t="s">
        <v>45</v>
      </c>
      <c r="G53" s="15" t="s">
        <v>45</v>
      </c>
      <c r="H53" s="15" t="s">
        <v>397</v>
      </c>
    </row>
    <row r="54" spans="1:8" x14ac:dyDescent="0.2">
      <c r="A54" s="15" t="s">
        <v>398</v>
      </c>
      <c r="B54" s="15" t="s">
        <v>398</v>
      </c>
      <c r="C54" s="15" t="s">
        <v>398</v>
      </c>
      <c r="D54" s="15" t="s">
        <v>398</v>
      </c>
      <c r="E54" s="15" t="s">
        <v>398</v>
      </c>
      <c r="F54" s="15" t="s">
        <v>398</v>
      </c>
      <c r="G54" s="15" t="s">
        <v>398</v>
      </c>
      <c r="H54" s="15" t="s">
        <v>399</v>
      </c>
    </row>
    <row r="55" spans="1:8" x14ac:dyDescent="0.2">
      <c r="A55" s="15" t="s">
        <v>400</v>
      </c>
      <c r="B55" s="15" t="s">
        <v>400</v>
      </c>
      <c r="C55" s="15" t="s">
        <v>400</v>
      </c>
      <c r="D55" s="15" t="s">
        <v>400</v>
      </c>
      <c r="E55" s="15" t="s">
        <v>400</v>
      </c>
      <c r="F55" s="15" t="s">
        <v>400</v>
      </c>
      <c r="G55" s="15" t="s">
        <v>400</v>
      </c>
      <c r="H55" s="15" t="s">
        <v>401</v>
      </c>
    </row>
    <row r="56" spans="1:8" x14ac:dyDescent="0.2">
      <c r="A56" s="15" t="s">
        <v>335</v>
      </c>
      <c r="B56" s="15" t="s">
        <v>335</v>
      </c>
      <c r="C56" s="15" t="s">
        <v>335</v>
      </c>
      <c r="D56" s="15" t="s">
        <v>335</v>
      </c>
      <c r="E56" s="15" t="s">
        <v>335</v>
      </c>
      <c r="F56" s="15" t="s">
        <v>335</v>
      </c>
      <c r="G56" s="15" t="s">
        <v>335</v>
      </c>
      <c r="H56" s="15" t="s">
        <v>402</v>
      </c>
    </row>
    <row r="57" spans="1:8" x14ac:dyDescent="0.2">
      <c r="A57" s="15" t="s">
        <v>403</v>
      </c>
      <c r="B57" s="15" t="s">
        <v>403</v>
      </c>
      <c r="C57" s="15" t="s">
        <v>403</v>
      </c>
      <c r="D57" s="15" t="s">
        <v>403</v>
      </c>
      <c r="E57" s="15" t="s">
        <v>403</v>
      </c>
      <c r="F57" s="15" t="s">
        <v>403</v>
      </c>
      <c r="G57" s="15" t="s">
        <v>403</v>
      </c>
      <c r="H57" s="15" t="s">
        <v>404</v>
      </c>
    </row>
    <row r="58" spans="1:8" x14ac:dyDescent="0.2">
      <c r="A58" s="15" t="s">
        <v>41</v>
      </c>
      <c r="B58" s="15" t="s">
        <v>41</v>
      </c>
      <c r="C58" s="15" t="s">
        <v>41</v>
      </c>
      <c r="D58" s="15" t="s">
        <v>41</v>
      </c>
      <c r="E58" s="15" t="s">
        <v>41</v>
      </c>
      <c r="F58" s="15" t="s">
        <v>41</v>
      </c>
      <c r="G58" s="15" t="s">
        <v>41</v>
      </c>
      <c r="H58" s="15" t="s">
        <v>405</v>
      </c>
    </row>
    <row r="59" spans="1:8" x14ac:dyDescent="0.2">
      <c r="A59" s="15" t="s">
        <v>148</v>
      </c>
      <c r="B59" s="17" t="s">
        <v>148</v>
      </c>
      <c r="C59" s="17" t="s">
        <v>148</v>
      </c>
      <c r="D59" s="17" t="s">
        <v>148</v>
      </c>
      <c r="E59" s="17" t="s">
        <v>148</v>
      </c>
      <c r="F59" s="17" t="s">
        <v>148</v>
      </c>
      <c r="G59" s="16" t="s">
        <v>163</v>
      </c>
      <c r="H59" s="15" t="s">
        <v>149</v>
      </c>
    </row>
    <row r="60" spans="1:8" x14ac:dyDescent="0.2">
      <c r="A60" s="15" t="s">
        <v>184</v>
      </c>
      <c r="B60" s="15" t="s">
        <v>198</v>
      </c>
      <c r="C60" s="15" t="s">
        <v>212</v>
      </c>
      <c r="D60" s="15" t="s">
        <v>226</v>
      </c>
      <c r="E60" s="15" t="s">
        <v>239</v>
      </c>
      <c r="F60" s="15" t="s">
        <v>253</v>
      </c>
      <c r="G60" s="15" t="s">
        <v>267</v>
      </c>
      <c r="H60" s="15" t="s">
        <v>281</v>
      </c>
    </row>
    <row r="61" spans="1:8" x14ac:dyDescent="0.2">
      <c r="A61" s="15" t="s">
        <v>185</v>
      </c>
      <c r="B61" s="15" t="s">
        <v>199</v>
      </c>
      <c r="C61" s="15" t="s">
        <v>213</v>
      </c>
      <c r="D61" s="15" t="s">
        <v>227</v>
      </c>
      <c r="E61" s="15" t="s">
        <v>240</v>
      </c>
      <c r="F61" s="15" t="s">
        <v>254</v>
      </c>
      <c r="G61" s="15" t="s">
        <v>268</v>
      </c>
      <c r="H61" s="15" t="s">
        <v>282</v>
      </c>
    </row>
    <row r="62" spans="1:8" x14ac:dyDescent="0.2">
      <c r="A62" s="15" t="s">
        <v>186</v>
      </c>
      <c r="B62" s="15" t="s">
        <v>200</v>
      </c>
      <c r="C62" s="15" t="s">
        <v>214</v>
      </c>
      <c r="D62" s="15" t="s">
        <v>228</v>
      </c>
      <c r="E62" s="15" t="s">
        <v>241</v>
      </c>
      <c r="F62" s="15" t="s">
        <v>255</v>
      </c>
      <c r="G62" s="15" t="s">
        <v>269</v>
      </c>
      <c r="H62" s="15" t="s">
        <v>283</v>
      </c>
    </row>
    <row r="63" spans="1:8" x14ac:dyDescent="0.2">
      <c r="A63" s="15" t="s">
        <v>187</v>
      </c>
      <c r="B63" s="15" t="s">
        <v>201</v>
      </c>
      <c r="C63" s="15" t="s">
        <v>215</v>
      </c>
      <c r="D63" s="15" t="s">
        <v>229</v>
      </c>
      <c r="E63" s="15" t="s">
        <v>242</v>
      </c>
      <c r="F63" s="15" t="s">
        <v>256</v>
      </c>
      <c r="G63" s="15" t="s">
        <v>270</v>
      </c>
      <c r="H63" s="15" t="s">
        <v>284</v>
      </c>
    </row>
    <row r="64" spans="1:8" x14ac:dyDescent="0.2">
      <c r="A64" s="15" t="s">
        <v>188</v>
      </c>
      <c r="B64" s="15" t="s">
        <v>202</v>
      </c>
      <c r="C64" s="15" t="s">
        <v>216</v>
      </c>
      <c r="D64" s="15" t="s">
        <v>230</v>
      </c>
      <c r="E64" s="15" t="s">
        <v>243</v>
      </c>
      <c r="F64" s="15" t="s">
        <v>257</v>
      </c>
      <c r="G64" s="15" t="s">
        <v>271</v>
      </c>
      <c r="H64" s="15" t="s">
        <v>285</v>
      </c>
    </row>
    <row r="65" spans="1:8" x14ac:dyDescent="0.2">
      <c r="A65" s="15" t="s">
        <v>189</v>
      </c>
      <c r="B65" s="15" t="s">
        <v>203</v>
      </c>
      <c r="C65" s="15" t="s">
        <v>217</v>
      </c>
      <c r="D65" s="15" t="s">
        <v>231</v>
      </c>
      <c r="E65" s="15" t="s">
        <v>244</v>
      </c>
      <c r="F65" s="15" t="s">
        <v>258</v>
      </c>
      <c r="G65" s="15" t="s">
        <v>272</v>
      </c>
      <c r="H65" s="15" t="s">
        <v>286</v>
      </c>
    </row>
    <row r="66" spans="1:8" x14ac:dyDescent="0.2">
      <c r="A66" s="15" t="s">
        <v>190</v>
      </c>
      <c r="B66" s="15" t="s">
        <v>204</v>
      </c>
      <c r="C66" s="15" t="s">
        <v>218</v>
      </c>
      <c r="D66" s="15" t="s">
        <v>232</v>
      </c>
      <c r="E66" s="15" t="s">
        <v>245</v>
      </c>
      <c r="F66" s="15" t="s">
        <v>259</v>
      </c>
      <c r="G66" s="15" t="s">
        <v>273</v>
      </c>
      <c r="H66" s="15" t="s">
        <v>287</v>
      </c>
    </row>
    <row r="67" spans="1:8" x14ac:dyDescent="0.2">
      <c r="A67" s="15" t="s">
        <v>191</v>
      </c>
      <c r="B67" s="15" t="s">
        <v>205</v>
      </c>
      <c r="C67" s="15" t="s">
        <v>219</v>
      </c>
      <c r="D67" s="15" t="s">
        <v>233</v>
      </c>
      <c r="E67" s="15" t="s">
        <v>246</v>
      </c>
      <c r="F67" s="15" t="s">
        <v>260</v>
      </c>
      <c r="G67" s="15" t="s">
        <v>274</v>
      </c>
      <c r="H67" s="15" t="s">
        <v>288</v>
      </c>
    </row>
    <row r="68" spans="1:8" x14ac:dyDescent="0.2">
      <c r="A68" s="15" t="s">
        <v>192</v>
      </c>
      <c r="B68" s="15" t="s">
        <v>206</v>
      </c>
      <c r="C68" s="15" t="s">
        <v>220</v>
      </c>
      <c r="D68" s="15" t="s">
        <v>234</v>
      </c>
      <c r="E68" s="15" t="s">
        <v>247</v>
      </c>
      <c r="F68" s="15" t="s">
        <v>261</v>
      </c>
      <c r="G68" s="15" t="s">
        <v>275</v>
      </c>
      <c r="H68" s="15" t="s">
        <v>289</v>
      </c>
    </row>
    <row r="69" spans="1:8" x14ac:dyDescent="0.2">
      <c r="A69" s="15" t="s">
        <v>193</v>
      </c>
      <c r="B69" s="15" t="s">
        <v>207</v>
      </c>
      <c r="C69" s="15" t="s">
        <v>221</v>
      </c>
      <c r="D69" s="15" t="s">
        <v>235</v>
      </c>
      <c r="E69" s="15" t="s">
        <v>248</v>
      </c>
      <c r="F69" s="15" t="s">
        <v>262</v>
      </c>
      <c r="G69" s="15" t="s">
        <v>276</v>
      </c>
      <c r="H69" s="15" t="s">
        <v>290</v>
      </c>
    </row>
    <row r="70" spans="1:8" x14ac:dyDescent="0.2">
      <c r="A70" s="15" t="s">
        <v>194</v>
      </c>
      <c r="B70" s="15" t="s">
        <v>208</v>
      </c>
      <c r="C70" s="15" t="s">
        <v>222</v>
      </c>
      <c r="D70" s="15" t="s">
        <v>236</v>
      </c>
      <c r="E70" s="15" t="s">
        <v>249</v>
      </c>
      <c r="F70" s="15" t="s">
        <v>263</v>
      </c>
      <c r="G70" s="15" t="s">
        <v>277</v>
      </c>
      <c r="H70" s="15" t="s">
        <v>291</v>
      </c>
    </row>
    <row r="71" spans="1:8" x14ac:dyDescent="0.2">
      <c r="A71" s="15" t="s">
        <v>195</v>
      </c>
      <c r="B71" s="15" t="s">
        <v>209</v>
      </c>
      <c r="C71" s="15" t="s">
        <v>223</v>
      </c>
      <c r="D71" s="15" t="s">
        <v>237</v>
      </c>
      <c r="E71" s="15" t="s">
        <v>250</v>
      </c>
      <c r="F71" s="15" t="s">
        <v>264</v>
      </c>
      <c r="G71" s="15" t="s">
        <v>278</v>
      </c>
      <c r="H71" s="15" t="s">
        <v>292</v>
      </c>
    </row>
    <row r="72" spans="1:8" x14ac:dyDescent="0.2">
      <c r="A72" s="15" t="s">
        <v>196</v>
      </c>
      <c r="B72" s="15" t="s">
        <v>210</v>
      </c>
      <c r="C72" s="15" t="s">
        <v>224</v>
      </c>
      <c r="D72" s="15" t="s">
        <v>238</v>
      </c>
      <c r="E72" s="15" t="s">
        <v>251</v>
      </c>
      <c r="F72" s="15" t="s">
        <v>265</v>
      </c>
      <c r="G72" s="15" t="s">
        <v>279</v>
      </c>
      <c r="H72" s="15" t="s">
        <v>293</v>
      </c>
    </row>
    <row r="73" spans="1:8" x14ac:dyDescent="0.2">
      <c r="A73" s="15" t="s">
        <v>197</v>
      </c>
      <c r="B73" s="15" t="s">
        <v>211</v>
      </c>
      <c r="C73" s="15" t="s">
        <v>225</v>
      </c>
      <c r="D73" s="15" t="s">
        <v>238</v>
      </c>
      <c r="E73" s="15" t="s">
        <v>252</v>
      </c>
      <c r="F73" s="15" t="s">
        <v>266</v>
      </c>
      <c r="G73" s="15" t="s">
        <v>280</v>
      </c>
      <c r="H73" s="15" t="s">
        <v>294</v>
      </c>
    </row>
    <row r="74" spans="1:8" x14ac:dyDescent="0.2">
      <c r="A74" s="15" t="s">
        <v>180</v>
      </c>
      <c r="B74" s="15" t="s">
        <v>309</v>
      </c>
      <c r="C74" s="15" t="s">
        <v>312</v>
      </c>
      <c r="D74" s="15" t="s">
        <v>316</v>
      </c>
      <c r="E74" s="15" t="s">
        <v>318</v>
      </c>
      <c r="F74" s="15" t="s">
        <v>320</v>
      </c>
      <c r="G74" s="15" t="s">
        <v>296</v>
      </c>
      <c r="H74" s="15" t="s">
        <v>297</v>
      </c>
    </row>
    <row r="75" spans="1:8" x14ac:dyDescent="0.2">
      <c r="A75" s="15" t="s">
        <v>298</v>
      </c>
      <c r="B75" s="15" t="s">
        <v>310</v>
      </c>
      <c r="C75" s="15" t="s">
        <v>313</v>
      </c>
      <c r="D75" s="15" t="s">
        <v>317</v>
      </c>
      <c r="E75" s="15" t="s">
        <v>319</v>
      </c>
      <c r="F75" s="15" t="s">
        <v>321</v>
      </c>
      <c r="G75" s="15" t="s">
        <v>299</v>
      </c>
      <c r="H75" s="15" t="s">
        <v>300</v>
      </c>
    </row>
    <row r="76" spans="1:8" x14ac:dyDescent="0.2">
      <c r="A76" s="15" t="s">
        <v>301</v>
      </c>
      <c r="B76" s="15" t="s">
        <v>311</v>
      </c>
      <c r="C76" s="15" t="s">
        <v>314</v>
      </c>
      <c r="D76" s="15" t="s">
        <v>302</v>
      </c>
      <c r="E76" s="15" t="s">
        <v>303</v>
      </c>
      <c r="F76" s="15" t="s">
        <v>322</v>
      </c>
      <c r="G76" s="15" t="s">
        <v>304</v>
      </c>
      <c r="H76" s="15" t="s">
        <v>305</v>
      </c>
    </row>
    <row r="77" spans="1:8" x14ac:dyDescent="0.2">
      <c r="A77" s="15" t="s">
        <v>181</v>
      </c>
      <c r="B77" s="15" t="s">
        <v>306</v>
      </c>
      <c r="C77" s="15" t="s">
        <v>315</v>
      </c>
      <c r="D77" s="15" t="s">
        <v>181</v>
      </c>
      <c r="E77" s="15" t="s">
        <v>306</v>
      </c>
      <c r="F77" s="15" t="s">
        <v>181</v>
      </c>
      <c r="G77" s="15" t="s">
        <v>307</v>
      </c>
      <c r="H77" s="15" t="s">
        <v>308</v>
      </c>
    </row>
    <row r="78" spans="1:8" x14ac:dyDescent="0.2">
      <c r="A78" s="15" t="s">
        <v>352</v>
      </c>
      <c r="B78" s="15" t="s">
        <v>352</v>
      </c>
      <c r="C78" s="15" t="s">
        <v>352</v>
      </c>
      <c r="D78" s="15" t="s">
        <v>352</v>
      </c>
      <c r="E78" s="15" t="s">
        <v>352</v>
      </c>
      <c r="F78" s="15" t="s">
        <v>352</v>
      </c>
      <c r="G78" s="15" t="s">
        <v>352</v>
      </c>
      <c r="H78" s="15" t="s">
        <v>353</v>
      </c>
    </row>
    <row r="79" spans="1:8" x14ac:dyDescent="0.2">
      <c r="A79" s="132" t="s">
        <v>324</v>
      </c>
      <c r="B79" s="132" t="s">
        <v>324</v>
      </c>
      <c r="C79" s="132" t="s">
        <v>324</v>
      </c>
      <c r="D79" s="132" t="s">
        <v>324</v>
      </c>
      <c r="E79" s="132" t="s">
        <v>324</v>
      </c>
      <c r="F79" s="132" t="s">
        <v>324</v>
      </c>
      <c r="G79" s="132" t="s">
        <v>324</v>
      </c>
      <c r="H79" s="132" t="s">
        <v>324</v>
      </c>
    </row>
    <row r="80" spans="1:8" x14ac:dyDescent="0.2">
      <c r="A80" s="132" t="s">
        <v>333</v>
      </c>
      <c r="B80" s="132" t="s">
        <v>333</v>
      </c>
      <c r="C80" s="132" t="s">
        <v>333</v>
      </c>
      <c r="D80" s="132" t="s">
        <v>333</v>
      </c>
      <c r="E80" s="132" t="s">
        <v>333</v>
      </c>
      <c r="F80" s="132" t="s">
        <v>333</v>
      </c>
      <c r="G80" s="132" t="s">
        <v>333</v>
      </c>
      <c r="H80" s="132" t="s">
        <v>333</v>
      </c>
    </row>
    <row r="81" spans="1:8" x14ac:dyDescent="0.2">
      <c r="A81" s="132" t="s">
        <v>327</v>
      </c>
      <c r="B81" s="132" t="s">
        <v>327</v>
      </c>
      <c r="C81" s="132" t="s">
        <v>327</v>
      </c>
      <c r="D81" s="132" t="s">
        <v>327</v>
      </c>
      <c r="E81" s="132" t="s">
        <v>327</v>
      </c>
      <c r="F81" s="132" t="s">
        <v>327</v>
      </c>
      <c r="G81" s="132" t="s">
        <v>327</v>
      </c>
      <c r="H81" s="132" t="s">
        <v>327</v>
      </c>
    </row>
    <row r="82" spans="1:8" x14ac:dyDescent="0.2">
      <c r="A82" s="132" t="s">
        <v>328</v>
      </c>
      <c r="B82" s="132" t="s">
        <v>328</v>
      </c>
      <c r="C82" s="132" t="s">
        <v>328</v>
      </c>
      <c r="D82" s="132" t="s">
        <v>328</v>
      </c>
      <c r="E82" s="132" t="s">
        <v>328</v>
      </c>
      <c r="F82" s="132" t="s">
        <v>328</v>
      </c>
      <c r="G82" s="132" t="s">
        <v>328</v>
      </c>
      <c r="H82" s="132" t="s">
        <v>328</v>
      </c>
    </row>
    <row r="83" spans="1:8" x14ac:dyDescent="0.2">
      <c r="A83" s="132" t="s">
        <v>338</v>
      </c>
      <c r="B83" s="132" t="s">
        <v>338</v>
      </c>
      <c r="C83" s="132" t="s">
        <v>338</v>
      </c>
      <c r="D83" s="132" t="s">
        <v>338</v>
      </c>
      <c r="E83" s="132" t="s">
        <v>338</v>
      </c>
      <c r="F83" s="132" t="s">
        <v>338</v>
      </c>
      <c r="G83" s="132" t="s">
        <v>338</v>
      </c>
      <c r="H83" s="132" t="s">
        <v>338</v>
      </c>
    </row>
    <row r="84" spans="1:8" x14ac:dyDescent="0.2">
      <c r="A84" s="132" t="s">
        <v>339</v>
      </c>
      <c r="B84" s="132" t="s">
        <v>339</v>
      </c>
      <c r="C84" s="132" t="s">
        <v>339</v>
      </c>
      <c r="D84" s="132" t="s">
        <v>339</v>
      </c>
      <c r="E84" s="132" t="s">
        <v>339</v>
      </c>
      <c r="F84" s="132" t="s">
        <v>339</v>
      </c>
      <c r="G84" s="132" t="s">
        <v>339</v>
      </c>
      <c r="H84" s="132" t="s">
        <v>339</v>
      </c>
    </row>
    <row r="85" spans="1:8" x14ac:dyDescent="0.2">
      <c r="A85" s="132" t="s">
        <v>12</v>
      </c>
      <c r="B85" s="132" t="s">
        <v>12</v>
      </c>
      <c r="C85" s="132" t="s">
        <v>12</v>
      </c>
      <c r="D85" s="132" t="s">
        <v>12</v>
      </c>
      <c r="E85" s="132" t="s">
        <v>12</v>
      </c>
      <c r="F85" s="132" t="s">
        <v>12</v>
      </c>
      <c r="G85" s="132" t="s">
        <v>12</v>
      </c>
      <c r="H85" s="132" t="s">
        <v>12</v>
      </c>
    </row>
    <row r="86" spans="1:8" x14ac:dyDescent="0.2">
      <c r="A86" s="132" t="s">
        <v>337</v>
      </c>
      <c r="B86" s="132" t="s">
        <v>337</v>
      </c>
      <c r="C86" s="132" t="s">
        <v>337</v>
      </c>
      <c r="D86" s="132" t="s">
        <v>337</v>
      </c>
      <c r="E86" s="132" t="s">
        <v>337</v>
      </c>
      <c r="F86" s="132" t="s">
        <v>337</v>
      </c>
      <c r="G86" s="132" t="s">
        <v>337</v>
      </c>
      <c r="H86" s="132" t="s">
        <v>337</v>
      </c>
    </row>
    <row r="87" spans="1:8" x14ac:dyDescent="0.2">
      <c r="A87" s="132" t="s">
        <v>42</v>
      </c>
      <c r="B87" s="132" t="s">
        <v>42</v>
      </c>
      <c r="C87" s="132" t="s">
        <v>42</v>
      </c>
      <c r="D87" s="132" t="s">
        <v>42</v>
      </c>
      <c r="E87" s="132" t="s">
        <v>42</v>
      </c>
      <c r="F87" s="132" t="s">
        <v>42</v>
      </c>
      <c r="G87" s="132" t="s">
        <v>42</v>
      </c>
      <c r="H87" s="132" t="s">
        <v>42</v>
      </c>
    </row>
    <row r="88" spans="1:8" x14ac:dyDescent="0.2">
      <c r="A88" s="132" t="s">
        <v>323</v>
      </c>
      <c r="B88" s="132" t="s">
        <v>323</v>
      </c>
      <c r="C88" s="132" t="s">
        <v>323</v>
      </c>
      <c r="D88" s="132" t="s">
        <v>323</v>
      </c>
      <c r="E88" s="132" t="s">
        <v>323</v>
      </c>
      <c r="F88" s="132" t="s">
        <v>323</v>
      </c>
      <c r="G88" s="132" t="s">
        <v>323</v>
      </c>
      <c r="H88" s="132" t="s">
        <v>323</v>
      </c>
    </row>
    <row r="89" spans="1:8" x14ac:dyDescent="0.2">
      <c r="A89" s="132" t="s">
        <v>335</v>
      </c>
      <c r="B89" s="132" t="s">
        <v>335</v>
      </c>
      <c r="C89" s="132" t="s">
        <v>335</v>
      </c>
      <c r="D89" s="132" t="s">
        <v>335</v>
      </c>
      <c r="E89" s="132" t="s">
        <v>335</v>
      </c>
      <c r="F89" s="132" t="s">
        <v>335</v>
      </c>
      <c r="G89" s="132" t="s">
        <v>335</v>
      </c>
      <c r="H89" s="132" t="s">
        <v>335</v>
      </c>
    </row>
    <row r="90" spans="1:8" x14ac:dyDescent="0.2">
      <c r="A90" s="132" t="s">
        <v>334</v>
      </c>
      <c r="B90" s="132" t="s">
        <v>334</v>
      </c>
      <c r="C90" s="132" t="s">
        <v>334</v>
      </c>
      <c r="D90" s="132" t="s">
        <v>334</v>
      </c>
      <c r="E90" s="132" t="s">
        <v>334</v>
      </c>
      <c r="F90" s="132" t="s">
        <v>334</v>
      </c>
      <c r="G90" s="132" t="s">
        <v>334</v>
      </c>
      <c r="H90" s="132" t="s">
        <v>334</v>
      </c>
    </row>
    <row r="91" spans="1:8" x14ac:dyDescent="0.2">
      <c r="A91" s="132" t="s">
        <v>45</v>
      </c>
      <c r="B91" s="132" t="s">
        <v>45</v>
      </c>
      <c r="C91" s="132" t="s">
        <v>45</v>
      </c>
      <c r="D91" s="132" t="s">
        <v>45</v>
      </c>
      <c r="E91" s="132" t="s">
        <v>45</v>
      </c>
      <c r="F91" s="132" t="s">
        <v>45</v>
      </c>
      <c r="G91" s="132" t="s">
        <v>45</v>
      </c>
      <c r="H91" s="132" t="s">
        <v>45</v>
      </c>
    </row>
    <row r="92" spans="1:8" x14ac:dyDescent="0.2">
      <c r="A92" s="132" t="s">
        <v>325</v>
      </c>
      <c r="B92" s="132" t="s">
        <v>325</v>
      </c>
      <c r="C92" s="132" t="s">
        <v>325</v>
      </c>
      <c r="D92" s="132" t="s">
        <v>325</v>
      </c>
      <c r="E92" s="132" t="s">
        <v>325</v>
      </c>
      <c r="F92" s="132" t="s">
        <v>325</v>
      </c>
      <c r="G92" s="132" t="s">
        <v>325</v>
      </c>
      <c r="H92" s="132" t="s">
        <v>325</v>
      </c>
    </row>
    <row r="93" spans="1:8" x14ac:dyDescent="0.2">
      <c r="A93" s="132" t="s">
        <v>336</v>
      </c>
      <c r="B93" s="132" t="s">
        <v>336</v>
      </c>
      <c r="C93" s="132" t="s">
        <v>336</v>
      </c>
      <c r="D93" s="132" t="s">
        <v>336</v>
      </c>
      <c r="E93" s="132" t="s">
        <v>336</v>
      </c>
      <c r="F93" s="132" t="s">
        <v>336</v>
      </c>
      <c r="G93" s="132" t="s">
        <v>336</v>
      </c>
      <c r="H93" s="132" t="s">
        <v>336</v>
      </c>
    </row>
    <row r="94" spans="1:8" x14ac:dyDescent="0.2">
      <c r="A94" s="132" t="s">
        <v>10</v>
      </c>
      <c r="B94" s="132" t="s">
        <v>10</v>
      </c>
      <c r="C94" s="132" t="s">
        <v>10</v>
      </c>
      <c r="D94" s="132" t="s">
        <v>10</v>
      </c>
      <c r="E94" s="132" t="s">
        <v>10</v>
      </c>
      <c r="F94" s="132" t="s">
        <v>10</v>
      </c>
      <c r="G94" s="132" t="s">
        <v>10</v>
      </c>
      <c r="H94" s="132" t="s">
        <v>10</v>
      </c>
    </row>
    <row r="95" spans="1:8" x14ac:dyDescent="0.2">
      <c r="A95" s="132" t="s">
        <v>340</v>
      </c>
      <c r="B95" s="132" t="s">
        <v>340</v>
      </c>
      <c r="C95" s="132" t="s">
        <v>340</v>
      </c>
      <c r="D95" s="132" t="s">
        <v>340</v>
      </c>
      <c r="E95" s="132" t="s">
        <v>340</v>
      </c>
      <c r="F95" s="132" t="s">
        <v>340</v>
      </c>
      <c r="G95" s="132" t="s">
        <v>340</v>
      </c>
      <c r="H95" s="132" t="s">
        <v>340</v>
      </c>
    </row>
    <row r="96" spans="1:8" x14ac:dyDescent="0.2">
      <c r="A96" s="132" t="s">
        <v>44</v>
      </c>
      <c r="B96" s="132" t="s">
        <v>44</v>
      </c>
      <c r="C96" s="132" t="s">
        <v>44</v>
      </c>
      <c r="D96" s="132" t="s">
        <v>44</v>
      </c>
      <c r="E96" s="132" t="s">
        <v>44</v>
      </c>
      <c r="F96" s="132" t="s">
        <v>44</v>
      </c>
      <c r="G96" s="132" t="s">
        <v>44</v>
      </c>
      <c r="H96" s="132" t="s">
        <v>44</v>
      </c>
    </row>
    <row r="97" spans="1:8" x14ac:dyDescent="0.2">
      <c r="A97" s="132" t="s">
        <v>326</v>
      </c>
      <c r="B97" s="132" t="s">
        <v>326</v>
      </c>
      <c r="C97" s="132" t="s">
        <v>326</v>
      </c>
      <c r="D97" s="132" t="s">
        <v>326</v>
      </c>
      <c r="E97" s="132" t="s">
        <v>326</v>
      </c>
      <c r="F97" s="132" t="s">
        <v>326</v>
      </c>
      <c r="G97" s="132" t="s">
        <v>326</v>
      </c>
      <c r="H97" s="132" t="s">
        <v>326</v>
      </c>
    </row>
    <row r="98" spans="1:8" x14ac:dyDescent="0.2">
      <c r="A98" s="132" t="s">
        <v>11</v>
      </c>
      <c r="B98" s="132" t="s">
        <v>11</v>
      </c>
      <c r="C98" s="132" t="s">
        <v>11</v>
      </c>
      <c r="D98" s="132" t="s">
        <v>11</v>
      </c>
      <c r="E98" s="132" t="s">
        <v>11</v>
      </c>
      <c r="F98" s="132" t="s">
        <v>11</v>
      </c>
      <c r="G98" s="132" t="s">
        <v>11</v>
      </c>
      <c r="H98" s="132" t="s">
        <v>11</v>
      </c>
    </row>
    <row r="99" spans="1:8" x14ac:dyDescent="0.2">
      <c r="A99" s="132" t="s">
        <v>41</v>
      </c>
      <c r="B99" s="132" t="s">
        <v>41</v>
      </c>
      <c r="C99" s="132" t="s">
        <v>41</v>
      </c>
      <c r="D99" s="132" t="s">
        <v>41</v>
      </c>
      <c r="E99" s="132" t="s">
        <v>41</v>
      </c>
      <c r="F99" s="132" t="s">
        <v>41</v>
      </c>
      <c r="G99" s="132" t="s">
        <v>41</v>
      </c>
      <c r="H99" s="132" t="s">
        <v>41</v>
      </c>
    </row>
    <row r="100" spans="1:8" x14ac:dyDescent="0.2">
      <c r="A100" s="132" t="s">
        <v>43</v>
      </c>
      <c r="B100" s="132" t="s">
        <v>43</v>
      </c>
      <c r="C100" s="132" t="s">
        <v>43</v>
      </c>
      <c r="D100" s="132" t="s">
        <v>43</v>
      </c>
      <c r="E100" s="132" t="s">
        <v>43</v>
      </c>
      <c r="F100" s="132" t="s">
        <v>43</v>
      </c>
      <c r="G100" s="132" t="s">
        <v>43</v>
      </c>
      <c r="H100" s="132" t="s">
        <v>43</v>
      </c>
    </row>
    <row r="101" spans="1:8" x14ac:dyDescent="0.2">
      <c r="A101" s="132" t="s">
        <v>341</v>
      </c>
      <c r="B101" s="132" t="s">
        <v>341</v>
      </c>
      <c r="C101" s="132" t="s">
        <v>341</v>
      </c>
      <c r="D101" s="132" t="s">
        <v>341</v>
      </c>
      <c r="E101" s="132" t="s">
        <v>341</v>
      </c>
      <c r="F101" s="132" t="s">
        <v>341</v>
      </c>
      <c r="G101" s="132" t="s">
        <v>341</v>
      </c>
      <c r="H101" s="132" t="s">
        <v>341</v>
      </c>
    </row>
    <row r="102" spans="1:8" x14ac:dyDescent="0.2">
      <c r="A102" s="132" t="s">
        <v>46</v>
      </c>
      <c r="B102" s="132" t="s">
        <v>46</v>
      </c>
      <c r="C102" s="132" t="s">
        <v>46</v>
      </c>
      <c r="D102" s="132" t="s">
        <v>46</v>
      </c>
      <c r="E102" s="132" t="s">
        <v>46</v>
      </c>
      <c r="F102" s="132" t="s">
        <v>46</v>
      </c>
      <c r="G102" s="132" t="s">
        <v>46</v>
      </c>
      <c r="H102" s="132" t="s">
        <v>46</v>
      </c>
    </row>
    <row r="103" spans="1:8" x14ac:dyDescent="0.2">
      <c r="A103" s="132" t="s">
        <v>343</v>
      </c>
      <c r="B103" s="132" t="s">
        <v>343</v>
      </c>
      <c r="C103" s="132" t="s">
        <v>343</v>
      </c>
      <c r="D103" s="132" t="s">
        <v>343</v>
      </c>
      <c r="E103" s="132" t="s">
        <v>343</v>
      </c>
      <c r="F103" s="132" t="s">
        <v>343</v>
      </c>
      <c r="G103" s="132" t="s">
        <v>343</v>
      </c>
      <c r="H103" s="132" t="s">
        <v>343</v>
      </c>
    </row>
    <row r="104" spans="1:8" x14ac:dyDescent="0.2">
      <c r="A104" s="132" t="s">
        <v>344</v>
      </c>
      <c r="B104" s="132" t="s">
        <v>344</v>
      </c>
      <c r="C104" s="132" t="s">
        <v>344</v>
      </c>
      <c r="D104" s="132" t="s">
        <v>344</v>
      </c>
      <c r="E104" s="132" t="s">
        <v>344</v>
      </c>
      <c r="F104" s="132" t="s">
        <v>344</v>
      </c>
      <c r="G104" s="132" t="s">
        <v>344</v>
      </c>
      <c r="H104" s="132" t="s">
        <v>344</v>
      </c>
    </row>
    <row r="105" spans="1:8" x14ac:dyDescent="0.2">
      <c r="A105" s="132" t="s">
        <v>345</v>
      </c>
      <c r="B105" s="132" t="s">
        <v>345</v>
      </c>
      <c r="C105" s="132" t="s">
        <v>345</v>
      </c>
      <c r="D105" s="132" t="s">
        <v>345</v>
      </c>
      <c r="E105" s="132" t="s">
        <v>345</v>
      </c>
      <c r="F105" s="132" t="s">
        <v>345</v>
      </c>
      <c r="G105" s="132" t="s">
        <v>345</v>
      </c>
      <c r="H105" s="132" t="s">
        <v>345</v>
      </c>
    </row>
    <row r="106" spans="1:8" x14ac:dyDescent="0.2">
      <c r="A106" s="132" t="s">
        <v>342</v>
      </c>
      <c r="B106" s="132" t="s">
        <v>342</v>
      </c>
      <c r="C106" s="132" t="s">
        <v>342</v>
      </c>
      <c r="D106" s="132" t="s">
        <v>342</v>
      </c>
      <c r="E106" s="132" t="s">
        <v>342</v>
      </c>
      <c r="F106" s="132" t="s">
        <v>342</v>
      </c>
      <c r="G106" s="132" t="s">
        <v>342</v>
      </c>
      <c r="H106" s="132" t="s">
        <v>342</v>
      </c>
    </row>
    <row r="107" spans="1:8" x14ac:dyDescent="0.2">
      <c r="A107" s="132" t="s">
        <v>347</v>
      </c>
      <c r="B107" s="132" t="s">
        <v>347</v>
      </c>
      <c r="C107" s="132" t="s">
        <v>347</v>
      </c>
      <c r="D107" s="132" t="s">
        <v>347</v>
      </c>
      <c r="E107" s="132" t="s">
        <v>347</v>
      </c>
      <c r="F107" s="132" t="s">
        <v>347</v>
      </c>
      <c r="G107" s="132" t="s">
        <v>347</v>
      </c>
      <c r="H107" s="132" t="s">
        <v>347</v>
      </c>
    </row>
    <row r="108" spans="1:8" x14ac:dyDescent="0.2">
      <c r="A108" s="132" t="s">
        <v>348</v>
      </c>
      <c r="B108" s="132" t="s">
        <v>348</v>
      </c>
      <c r="C108" s="132" t="s">
        <v>348</v>
      </c>
      <c r="D108" s="132" t="s">
        <v>348</v>
      </c>
      <c r="E108" s="132" t="s">
        <v>348</v>
      </c>
      <c r="F108" s="132" t="s">
        <v>348</v>
      </c>
      <c r="G108" s="132" t="s">
        <v>348</v>
      </c>
      <c r="H108" s="132" t="s">
        <v>348</v>
      </c>
    </row>
    <row r="109" spans="1:8" x14ac:dyDescent="0.2">
      <c r="A109" s="132" t="s">
        <v>9</v>
      </c>
      <c r="B109" s="132" t="s">
        <v>9</v>
      </c>
      <c r="C109" s="132" t="s">
        <v>9</v>
      </c>
      <c r="D109" s="132" t="s">
        <v>9</v>
      </c>
      <c r="E109" s="132" t="s">
        <v>9</v>
      </c>
      <c r="F109" s="132" t="s">
        <v>9</v>
      </c>
      <c r="G109" s="132" t="s">
        <v>9</v>
      </c>
      <c r="H109" s="132" t="s">
        <v>9</v>
      </c>
    </row>
    <row r="110" spans="1:8" x14ac:dyDescent="0.2">
      <c r="A110" s="132" t="s">
        <v>346</v>
      </c>
      <c r="B110" s="132" t="s">
        <v>346</v>
      </c>
      <c r="C110" s="132" t="s">
        <v>346</v>
      </c>
      <c r="D110" s="132" t="s">
        <v>346</v>
      </c>
      <c r="E110" s="132" t="s">
        <v>346</v>
      </c>
      <c r="F110" s="132" t="s">
        <v>346</v>
      </c>
      <c r="G110" s="132" t="s">
        <v>346</v>
      </c>
      <c r="H110" s="132" t="s">
        <v>346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X105"/>
  <sheetViews>
    <sheetView showGridLines="0" tabSelected="1" zoomScale="80" zoomScaleNormal="80" workbookViewId="0">
      <selection activeCell="G9" sqref="G9"/>
    </sheetView>
  </sheetViews>
  <sheetFormatPr defaultRowHeight="12.75" x14ac:dyDescent="0.2"/>
  <cols>
    <col min="1" max="1" width="6.1640625" style="2" customWidth="1"/>
    <col min="2" max="2" width="6.5" style="3" customWidth="1"/>
    <col min="3" max="3" width="4.6640625" style="11" customWidth="1"/>
    <col min="4" max="4" width="7.33203125" style="11" customWidth="1"/>
    <col min="5" max="5" width="7.83203125" style="3" customWidth="1"/>
    <col min="6" max="6" width="24.1640625" style="8" customWidth="1"/>
    <col min="7" max="8" width="4" style="4" customWidth="1"/>
    <col min="9" max="9" width="24.1640625" style="10" customWidth="1"/>
    <col min="10" max="10" width="1.6640625" style="1" customWidth="1"/>
    <col min="11" max="11" width="21.33203125" style="1" customWidth="1"/>
    <col min="12" max="16" width="9.1640625" style="4" customWidth="1"/>
    <col min="17" max="17" width="1.6640625" style="1" customWidth="1"/>
    <col min="18" max="18" width="6.5" style="3" customWidth="1"/>
    <col min="19" max="19" width="4.6640625" style="11" customWidth="1"/>
    <col min="20" max="20" width="7.33203125" style="11" customWidth="1"/>
    <col min="21" max="21" width="7.83203125" style="3" customWidth="1"/>
    <col min="22" max="22" width="24.1640625" style="3" customWidth="1"/>
    <col min="23" max="24" width="4" style="13" customWidth="1"/>
    <col min="25" max="25" width="24.1640625" style="13" customWidth="1"/>
    <col min="26" max="26" width="6.1640625" style="13" customWidth="1"/>
    <col min="27" max="27" width="4.1640625" style="112" customWidth="1"/>
    <col min="28" max="28" width="7.5" style="160" hidden="1" customWidth="1"/>
    <col min="29" max="29" width="15.5" style="161" hidden="1" customWidth="1"/>
    <col min="30" max="35" width="7.83203125" style="162" hidden="1" customWidth="1"/>
    <col min="36" max="36" width="14.6640625" style="162" hidden="1" customWidth="1"/>
    <col min="37" max="37" width="5.83203125" style="161" hidden="1" customWidth="1"/>
    <col min="38" max="38" width="4.5" style="161" hidden="1" customWidth="1"/>
    <col min="39" max="43" width="3.5" style="162" hidden="1" customWidth="1"/>
    <col min="44" max="45" width="5.1640625" style="161" hidden="1" customWidth="1"/>
    <col min="46" max="46" width="9.33203125" style="161" hidden="1" customWidth="1"/>
    <col min="47" max="47" width="2.5" style="161" hidden="1" customWidth="1"/>
    <col min="48" max="48" width="24.6640625" style="161" hidden="1" customWidth="1"/>
    <col min="49" max="49" width="2.6640625" style="161" hidden="1" customWidth="1"/>
    <col min="50" max="50" width="19.1640625" style="161" hidden="1" customWidth="1"/>
    <col min="51" max="51" width="2.6640625" style="161" hidden="1" customWidth="1"/>
    <col min="52" max="52" width="24.6640625" style="161" hidden="1" customWidth="1"/>
    <col min="53" max="53" width="2.6640625" style="161" hidden="1" customWidth="1"/>
    <col min="54" max="54" width="19.33203125" style="161" hidden="1" customWidth="1"/>
    <col min="55" max="55" width="2.6640625" style="161" hidden="1" customWidth="1"/>
    <col min="56" max="59" width="15.6640625" style="161" hidden="1" customWidth="1"/>
    <col min="60" max="60" width="19.33203125" style="161" hidden="1" customWidth="1"/>
    <col min="61" max="61" width="2.6640625" style="161" hidden="1" customWidth="1"/>
    <col min="62" max="62" width="19.33203125" style="161" hidden="1" customWidth="1"/>
    <col min="63" max="63" width="2.6640625" style="161" hidden="1" customWidth="1"/>
    <col min="64" max="64" width="19.33203125" style="161" hidden="1" customWidth="1"/>
    <col min="65" max="65" width="2.6640625" style="161" hidden="1" customWidth="1"/>
    <col min="66" max="66" width="19.33203125" style="161" hidden="1" customWidth="1"/>
    <col min="67" max="67" width="2.6640625" style="161" hidden="1" customWidth="1"/>
    <col min="68" max="68" width="13.83203125" style="161" hidden="1" customWidth="1"/>
    <col min="69" max="69" width="5.5" style="161" hidden="1" customWidth="1"/>
    <col min="70" max="70" width="9.33203125" style="161" hidden="1" customWidth="1"/>
    <col min="71" max="71" width="9.33203125" style="163" hidden="1" customWidth="1"/>
    <col min="72" max="72" width="0" style="163" hidden="1" customWidth="1"/>
    <col min="73" max="76" width="15.6640625" style="161" hidden="1" customWidth="1"/>
    <col min="77" max="16384" width="9.33203125" style="1"/>
  </cols>
  <sheetData>
    <row r="1" spans="1:76" ht="30.75" customHeight="1" x14ac:dyDescent="0.2">
      <c r="B1" s="7"/>
      <c r="C1" s="7"/>
      <c r="D1" s="7"/>
      <c r="E1" s="7"/>
      <c r="F1" s="177" t="str">
        <f>INDEX(T,2,langID)</f>
        <v>AceFixtures for UEFA Champions League 2013/2014</v>
      </c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7"/>
      <c r="Z1" s="7"/>
    </row>
    <row r="2" spans="1:76" ht="6.75" customHeight="1" x14ac:dyDescent="0.2">
      <c r="H2" s="1"/>
      <c r="I2" s="1"/>
    </row>
    <row r="3" spans="1:76" ht="6.75" customHeight="1" x14ac:dyDescent="0.2">
      <c r="A3" s="1"/>
      <c r="B3" s="6"/>
      <c r="C3" s="12"/>
      <c r="D3" s="196" t="str">
        <f>INDEX(T,59,langID)</f>
        <v>Visit Homepage: Excely.com</v>
      </c>
      <c r="E3" s="196"/>
      <c r="F3" s="196"/>
      <c r="G3" s="196"/>
      <c r="H3" s="196"/>
      <c r="I3" s="196"/>
      <c r="J3" s="196"/>
      <c r="K3" s="196"/>
      <c r="M3" s="195" t="s">
        <v>408</v>
      </c>
      <c r="N3" s="196"/>
      <c r="O3" s="196"/>
      <c r="P3" s="196"/>
      <c r="Q3" s="196"/>
      <c r="R3" s="196"/>
      <c r="S3" s="196"/>
      <c r="T3" s="196"/>
      <c r="U3" s="196"/>
      <c r="V3" s="196"/>
      <c r="W3" s="196"/>
      <c r="AA3" s="114"/>
      <c r="AB3" s="161"/>
      <c r="AC3" s="160"/>
      <c r="AD3" s="161"/>
      <c r="AK3" s="162"/>
    </row>
    <row r="4" spans="1:76" ht="9" customHeight="1" x14ac:dyDescent="0.2">
      <c r="A4" s="9"/>
      <c r="D4" s="196"/>
      <c r="E4" s="196"/>
      <c r="F4" s="196"/>
      <c r="G4" s="196"/>
      <c r="H4" s="196"/>
      <c r="I4" s="196"/>
      <c r="J4" s="196"/>
      <c r="K4" s="196"/>
      <c r="M4" s="195"/>
      <c r="N4" s="196"/>
      <c r="O4" s="196"/>
      <c r="P4" s="196"/>
      <c r="Q4" s="196"/>
      <c r="R4" s="196"/>
      <c r="S4" s="196"/>
      <c r="T4" s="196"/>
      <c r="U4" s="196"/>
      <c r="V4" s="196"/>
      <c r="W4" s="196"/>
      <c r="AA4" s="113"/>
      <c r="AB4" s="161"/>
      <c r="AC4" s="160"/>
      <c r="AD4" s="161"/>
      <c r="AK4" s="162"/>
      <c r="AU4" s="162"/>
    </row>
    <row r="5" spans="1:76" ht="14.25" customHeight="1" x14ac:dyDescent="0.2">
      <c r="A5" s="5" t="str">
        <f>INDEX(T,3,langID)</f>
        <v>BETA Version</v>
      </c>
      <c r="D5" s="196"/>
      <c r="E5" s="196"/>
      <c r="F5" s="196"/>
      <c r="G5" s="196"/>
      <c r="H5" s="196"/>
      <c r="I5" s="196"/>
      <c r="J5" s="196"/>
      <c r="K5" s="196"/>
      <c r="M5" s="195"/>
      <c r="N5" s="196"/>
      <c r="O5" s="196"/>
      <c r="P5" s="196"/>
      <c r="Q5" s="196"/>
      <c r="R5" s="196"/>
      <c r="S5" s="196"/>
      <c r="T5" s="196"/>
      <c r="U5" s="196"/>
      <c r="V5" s="196"/>
      <c r="W5" s="196"/>
      <c r="Y5" s="109" t="s">
        <v>47</v>
      </c>
      <c r="AA5" s="113"/>
      <c r="AB5" s="161"/>
      <c r="AC5" s="160"/>
      <c r="AD5" s="161"/>
      <c r="AK5" s="162"/>
      <c r="AU5" s="162"/>
    </row>
    <row r="6" spans="1:76" ht="6" customHeight="1" x14ac:dyDescent="0.2">
      <c r="A6" s="9"/>
      <c r="J6" s="4"/>
      <c r="L6" s="1"/>
      <c r="Q6" s="4"/>
      <c r="AA6" s="113"/>
      <c r="AB6" s="161"/>
      <c r="AC6" s="160"/>
      <c r="AD6" s="161"/>
      <c r="AK6" s="162"/>
      <c r="AU6" s="162"/>
    </row>
    <row r="7" spans="1:76" ht="16.5" customHeight="1" x14ac:dyDescent="0.2">
      <c r="A7" s="169"/>
      <c r="B7" s="171" t="str">
        <f>INDEX(T,12,langID)</f>
        <v>Date</v>
      </c>
      <c r="C7" s="171"/>
      <c r="D7" s="171"/>
      <c r="E7" s="171"/>
      <c r="F7" s="185" t="str">
        <f>INDEX(T,13,langID)</f>
        <v>Home</v>
      </c>
      <c r="G7" s="18"/>
      <c r="H7" s="18"/>
      <c r="I7" s="193" t="str">
        <f>INDEX(T,14,langID)</f>
        <v>Away</v>
      </c>
      <c r="J7" s="19"/>
      <c r="K7" s="173" t="str">
        <f>INDEX(T,4,langID) &amp; " A"</f>
        <v>Group A</v>
      </c>
      <c r="L7" s="175" t="str">
        <f>INDEX(T,7,langID)</f>
        <v>Win</v>
      </c>
      <c r="M7" s="175" t="str">
        <f>INDEX(T,8,langID)</f>
        <v>Draw</v>
      </c>
      <c r="N7" s="175" t="str">
        <f>INDEX(T,9,langID)</f>
        <v>Lose</v>
      </c>
      <c r="O7" s="175" t="str">
        <f>INDEX(T,10,langID)</f>
        <v>F - A</v>
      </c>
      <c r="P7" s="189" t="str">
        <f>INDEX(T,11,langID)</f>
        <v>Pts</v>
      </c>
      <c r="Q7" s="19"/>
      <c r="R7" s="169" t="str">
        <f>INDEX(T,12,langID)</f>
        <v>Date</v>
      </c>
      <c r="S7" s="171"/>
      <c r="T7" s="171"/>
      <c r="U7" s="171"/>
      <c r="V7" s="185" t="str">
        <f>INDEX(T,13,langID)</f>
        <v>Home</v>
      </c>
      <c r="W7" s="18"/>
      <c r="X7" s="18"/>
      <c r="Y7" s="187" t="str">
        <f>INDEX(T,14,langID)</f>
        <v>Away</v>
      </c>
      <c r="Z7" s="191"/>
    </row>
    <row r="8" spans="1:76" ht="16.5" customHeight="1" x14ac:dyDescent="0.2">
      <c r="A8" s="170"/>
      <c r="B8" s="172"/>
      <c r="C8" s="172"/>
      <c r="D8" s="172"/>
      <c r="E8" s="172"/>
      <c r="F8" s="186"/>
      <c r="G8" s="21"/>
      <c r="H8" s="21"/>
      <c r="I8" s="194"/>
      <c r="J8" s="19"/>
      <c r="K8" s="174"/>
      <c r="L8" s="176"/>
      <c r="M8" s="176"/>
      <c r="N8" s="176"/>
      <c r="O8" s="176"/>
      <c r="P8" s="190"/>
      <c r="Q8" s="19"/>
      <c r="R8" s="170"/>
      <c r="S8" s="172"/>
      <c r="T8" s="172"/>
      <c r="U8" s="172"/>
      <c r="V8" s="186"/>
      <c r="W8" s="20"/>
      <c r="X8" s="20"/>
      <c r="Y8" s="188"/>
      <c r="Z8" s="192"/>
      <c r="AB8" s="160" t="s">
        <v>1</v>
      </c>
      <c r="AC8" s="160"/>
      <c r="AD8" s="160" t="s">
        <v>2</v>
      </c>
      <c r="AE8" s="160" t="s">
        <v>3</v>
      </c>
      <c r="AF8" s="160" t="s">
        <v>4</v>
      </c>
      <c r="AG8" s="160" t="s">
        <v>13</v>
      </c>
      <c r="AH8" s="160" t="s">
        <v>14</v>
      </c>
      <c r="AI8" s="160" t="s">
        <v>15</v>
      </c>
      <c r="AJ8" s="160" t="s">
        <v>16</v>
      </c>
      <c r="BP8" s="161" t="s">
        <v>30</v>
      </c>
      <c r="BQ8" s="161">
        <f>VLOOKUP(BP8,BP9:BQ32,2,FALSE)</f>
        <v>1</v>
      </c>
      <c r="BR8" s="164" t="str">
        <f>IF(Y5="",BR9,Y5)</f>
        <v>English</v>
      </c>
      <c r="BS8" s="164">
        <f>VLOOKUP(BR8,langList,2,FALSE)</f>
        <v>1</v>
      </c>
    </row>
    <row r="9" spans="1:76" ht="16.5" customHeight="1" x14ac:dyDescent="0.2">
      <c r="A9" s="166" t="str">
        <f>INDEX(T,4,langID) &amp; " A"</f>
        <v>Group A</v>
      </c>
      <c r="B9" s="133" t="str">
        <f>INDEX(T,23,langID)</f>
        <v>Sep</v>
      </c>
      <c r="C9" s="134">
        <v>17</v>
      </c>
      <c r="D9" s="134">
        <v>2013</v>
      </c>
      <c r="E9" s="135">
        <v>0.86458333333333337</v>
      </c>
      <c r="F9" s="141" t="str">
        <f>AC12</f>
        <v>Real Sociedad</v>
      </c>
      <c r="G9" s="154">
        <v>0</v>
      </c>
      <c r="H9" s="155">
        <v>2</v>
      </c>
      <c r="I9" s="144" t="str">
        <f>AC9</f>
        <v>FC Shakhtar</v>
      </c>
      <c r="J9" s="19"/>
      <c r="K9" s="22" t="str">
        <f>VLOOKUP(4,AB9:AI12,2,FALSE)</f>
        <v>Man. United</v>
      </c>
      <c r="L9" s="23">
        <f>VLOOKUP(4,AB9:AI12,3,FALSE)</f>
        <v>2</v>
      </c>
      <c r="M9" s="23">
        <f>VLOOKUP(4,AB9:AI12,4,FALSE)</f>
        <v>2</v>
      </c>
      <c r="N9" s="23">
        <f>VLOOKUP(4,AB9:AI12,5,FALSE)</f>
        <v>0</v>
      </c>
      <c r="O9" s="23" t="str">
        <f>CONCATENATE(VLOOKUP(4,AB9:AI12,6,FALSE)," - ",VLOOKUP(4,AB9:AI12,7,FALSE))</f>
        <v>6 - 3</v>
      </c>
      <c r="P9" s="24">
        <f>VLOOKUP(4,AB9:AI12,8,FALSE)</f>
        <v>8</v>
      </c>
      <c r="Q9" s="19"/>
      <c r="R9" s="133" t="str">
        <f>B9</f>
        <v>Sep</v>
      </c>
      <c r="S9" s="134">
        <f t="shared" ref="S9:S56" si="0">C9</f>
        <v>17</v>
      </c>
      <c r="T9" s="134">
        <f t="shared" ref="T9:T56" si="1">D9</f>
        <v>2013</v>
      </c>
      <c r="U9" s="135">
        <f t="shared" ref="U9:U56" si="2">E9</f>
        <v>0.86458333333333337</v>
      </c>
      <c r="V9" s="141" t="str">
        <f>AC19</f>
        <v>FC København</v>
      </c>
      <c r="W9" s="154">
        <v>1</v>
      </c>
      <c r="X9" s="155">
        <v>1</v>
      </c>
      <c r="Y9" s="146" t="str">
        <f>AC16</f>
        <v>Juventus</v>
      </c>
      <c r="Z9" s="178" t="str">
        <f>INDEX(T,4,langID) &amp; " B"</f>
        <v>Group B</v>
      </c>
      <c r="AB9" s="160">
        <f>IF(AJ9&gt;AJ9,1,0)+IF(AJ9&gt;AJ10,1,0)+IF(AJ9&gt;AJ11,1,0)+IF(AJ9&gt;AJ12,1,0)+1</f>
        <v>2</v>
      </c>
      <c r="AC9" s="161" t="str">
        <f>INDEX(T,27,langID)</f>
        <v>FC Shakhtar</v>
      </c>
      <c r="AD9" s="162">
        <f>COUNTIF(BD9:BE104,CONCATENATE(AC9,"_win"))</f>
        <v>1</v>
      </c>
      <c r="AE9" s="162">
        <f>COUNTIF(BD9:BE104,CONCATENATE(AC9,"_draw"))</f>
        <v>2</v>
      </c>
      <c r="AF9" s="162">
        <f>COUNTIF(BD9:BE104,CONCATENATE(AC9,"_lose"))</f>
        <v>1</v>
      </c>
      <c r="AG9" s="162">
        <f>SUMIF(AZ9:AZ104,CONCATENATE("=",AC9),BA9:BA104)+SUMIF(AV9:AV104,CONCATENATE("=",AC9),AW9:AW104)</f>
        <v>3</v>
      </c>
      <c r="AH9" s="162">
        <f>SUMIF(BB9:BB104,CONCATENATE("=",AC9),BC9:BC104)+SUMIF(AX9:AX104,CONCATENATE("=",AC9),AY9:AY104)</f>
        <v>5</v>
      </c>
      <c r="AI9" s="162">
        <f>AD9*3+AE9</f>
        <v>5</v>
      </c>
      <c r="AJ9" s="162">
        <f>0.4+AG9+(AG9-AH9)*100+AD9*1000+AI9*10000000+AS9*10000</f>
        <v>50000803.399999999</v>
      </c>
      <c r="AK9" s="161">
        <f>IF(COUNTIF(AI9:AI12,CONCATENATE("=",AI9))=1,0,COUNTIF(AI9:AI12,CONCATENATE("=",AI9)))*AI9</f>
        <v>0</v>
      </c>
      <c r="AM9" s="162">
        <f>IF(AK9=AK13,AI9,IF(AK10=AK13,AI10,IF(AK11=AK13,AI11,AI12)))</f>
        <v>5</v>
      </c>
      <c r="AN9" s="162">
        <f>IF(AI9=AM9,1,0)</f>
        <v>1</v>
      </c>
      <c r="AO9" s="162">
        <f>COUNTIF(BF9:BG104,CONCATENATE(AC9,"_win"))</f>
        <v>0</v>
      </c>
      <c r="AP9" s="162">
        <f>SUMIF(BL9:BL104,CONCATENATE("=",AC9),BM9:BM104)*1.01+SUMIF(BH9:BH104,CONCATENATE("=",AC9),BI9:BI104)</f>
        <v>0</v>
      </c>
      <c r="AQ9" s="162">
        <f>SUMIF(BN9:BN104,CONCATENATE("=",AC9),BO9:BO104)+SUMIF(BJ9:BJ104,CONCATENATE("=",AC9),BK9:BK104)</f>
        <v>0</v>
      </c>
      <c r="AR9" s="161">
        <f>300*AO9+(AP9-AQ9)*10+AP9</f>
        <v>0</v>
      </c>
      <c r="AS9" s="161">
        <f>IF(AR9&gt;0,AR9,0)</f>
        <v>0</v>
      </c>
      <c r="AU9" s="161">
        <f>VLOOKUP(I9,AC9:AN61,12,FALSE)+VLOOKUP(F9,AC9:AN61,12,FALSE)</f>
        <v>1</v>
      </c>
      <c r="AV9" s="161" t="str">
        <f t="shared" ref="AV9:AV20" si="3">F9</f>
        <v>Real Sociedad</v>
      </c>
      <c r="AW9" s="161">
        <f t="shared" ref="AW9:AW20" si="4">G9</f>
        <v>0</v>
      </c>
      <c r="AX9" s="161" t="str">
        <f t="shared" ref="AX9:AX20" si="5">F9</f>
        <v>Real Sociedad</v>
      </c>
      <c r="AY9" s="161">
        <f t="shared" ref="AY9:AY20" si="6">H9</f>
        <v>2</v>
      </c>
      <c r="AZ9" s="161" t="str">
        <f t="shared" ref="AZ9:AZ20" si="7">I9</f>
        <v>FC Shakhtar</v>
      </c>
      <c r="BA9" s="161">
        <f t="shared" ref="BA9:BA20" si="8">H9</f>
        <v>2</v>
      </c>
      <c r="BB9" s="161" t="str">
        <f t="shared" ref="BB9:BB20" si="9">I9</f>
        <v>FC Shakhtar</v>
      </c>
      <c r="BC9" s="161">
        <f t="shared" ref="BC9:BC20" si="10">G9</f>
        <v>0</v>
      </c>
      <c r="BD9" s="161" t="str">
        <f t="shared" ref="BD9:BD20" si="11">IF(G9="","",IF(H9="","",IF(G9&gt;H9,CONCATENATE(F9,"_win"),IF(G9&lt;H9,CONCATENATE(F9,"_lose"),CONCATENATE(F9,"_draw")))))</f>
        <v>Real Sociedad_lose</v>
      </c>
      <c r="BE9" s="161" t="str">
        <f t="shared" ref="BE9:BE20" si="12">IF(G9="","",IF(H9="","",IF(G9&gt;H9,CONCATENATE(I9,"_lose"),IF(G9&lt;H9,CONCATENATE(I9,"_win"),CONCATENATE(I9,"_draw")))))</f>
        <v>FC Shakhtar_win</v>
      </c>
      <c r="BF9" s="161" t="str">
        <f t="shared" ref="BF9:BF20" si="13">IF(AU9=2,IF(G9="","",IF(H9="","",IF(G9&gt;H9,CONCATENATE(F9,"_win"),IF(G9&lt;H9,CONCATENATE(F9,"_lose"),CONCATENATE(F9,"_draw"))))),"")</f>
        <v/>
      </c>
      <c r="BG9" s="161" t="str">
        <f t="shared" ref="BG9:BG20" si="14">IF(AU9=2,IF(G9="","",IF(H9="","",IF(G9&gt;H9,CONCATENATE(I9,"_lose"),IF(G9&lt;H9,CONCATENATE(I9,"_win"),CONCATENATE(I9,"_draw"))))),"")</f>
        <v/>
      </c>
      <c r="BH9" s="161" t="str">
        <f t="shared" ref="BH9:BH56" si="15">IF(AU9=2,AV9,"")</f>
        <v/>
      </c>
      <c r="BI9" s="161" t="str">
        <f t="shared" ref="BI9:BI56" si="16">IF(AU9=2,AW9,"")</f>
        <v/>
      </c>
      <c r="BJ9" s="161" t="str">
        <f t="shared" ref="BJ9:BJ56" si="17">IF(AU9=2,AX9,"")</f>
        <v/>
      </c>
      <c r="BK9" s="161" t="str">
        <f t="shared" ref="BK9:BK56" si="18">IF(AU9=2,AY9,"")</f>
        <v/>
      </c>
      <c r="BL9" s="161" t="str">
        <f t="shared" ref="BL9:BL56" si="19">IF(AU9=2,AZ9,"")</f>
        <v/>
      </c>
      <c r="BM9" s="161" t="str">
        <f t="shared" ref="BM9:BM56" si="20">IF(AU9=2,BA9,"")</f>
        <v/>
      </c>
      <c r="BN9" s="161" t="str">
        <f t="shared" ref="BN9:BN56" si="21">IF(AU9=2,BB9,"")</f>
        <v/>
      </c>
      <c r="BO9" s="161" t="str">
        <f t="shared" ref="BO9:BO56" si="22">IF(AU9=2,BC9,"")</f>
        <v/>
      </c>
      <c r="BP9" s="161" t="s">
        <v>18</v>
      </c>
      <c r="BQ9" s="161">
        <v>-11</v>
      </c>
      <c r="BR9" s="164" t="s">
        <v>47</v>
      </c>
      <c r="BS9" s="164">
        <v>1</v>
      </c>
      <c r="BU9" s="161">
        <f>IF(RIGHT(BD9,3)="win",3,IF(RIGHT(BD9,3)="raw",1,IF(RIGHT(BD9,3)="ose",-1,0)))</f>
        <v>-1</v>
      </c>
      <c r="BV9" s="161">
        <f>IF(RIGHT(BE9,3)="win",3,IF(RIGHT(BE9,3)="raw",1,IF(RIGHT(BE9,3)="ose",-1,0)))</f>
        <v>3</v>
      </c>
      <c r="BW9" s="161">
        <f>IF(RIGHT(BD21,3)="win",3,IF(RIGHT(BD21,3)="raw",1,IF(RIGHT(BD21,3)="ose",-1,0)))</f>
        <v>1</v>
      </c>
      <c r="BX9" s="161">
        <f>IF(RIGHT(BE21,3)="win",3,IF(RIGHT(BE21,3)="raw",1,IF(RIGHT(BE21,3)="ose",-1,0)))</f>
        <v>1</v>
      </c>
    </row>
    <row r="10" spans="1:76" ht="16.5" customHeight="1" x14ac:dyDescent="0.2">
      <c r="A10" s="167"/>
      <c r="B10" s="136" t="str">
        <f>INDEX(T,23,langID)</f>
        <v>Sep</v>
      </c>
      <c r="C10" s="137">
        <v>17</v>
      </c>
      <c r="D10" s="137">
        <v>2013</v>
      </c>
      <c r="E10" s="138">
        <v>0.86458333333333337</v>
      </c>
      <c r="F10" s="140" t="str">
        <f>AC10</f>
        <v>Man. United</v>
      </c>
      <c r="G10" s="156">
        <v>4</v>
      </c>
      <c r="H10" s="157">
        <v>2</v>
      </c>
      <c r="I10" s="139" t="str">
        <f>AC11</f>
        <v>Bayer 04 Leverkusen</v>
      </c>
      <c r="J10" s="19"/>
      <c r="K10" s="25" t="str">
        <f>VLOOKUP(3,AB9:AI12,2,FALSE)</f>
        <v>Bayer 04 Leverkusen</v>
      </c>
      <c r="L10" s="26">
        <f>VLOOKUP(3,AB9:AI12,3,FALSE)</f>
        <v>2</v>
      </c>
      <c r="M10" s="26">
        <f>VLOOKUP(3,AB9:AI12,4,FALSE)</f>
        <v>1</v>
      </c>
      <c r="N10" s="26">
        <f>VLOOKUP(3,AB9:AI12,5,FALSE)</f>
        <v>1</v>
      </c>
      <c r="O10" s="26" t="str">
        <f>CONCATENATE(VLOOKUP(3,AB9:AI12,6,FALSE)," - ",VLOOKUP(3,AB9:AI12,7,FALSE))</f>
        <v>8 - 5</v>
      </c>
      <c r="P10" s="27">
        <f>VLOOKUP(3,AB9:AI12,8,FALSE)</f>
        <v>7</v>
      </c>
      <c r="Q10" s="19"/>
      <c r="R10" s="136" t="str">
        <f t="shared" ref="R10:R56" si="23">B10</f>
        <v>Sep</v>
      </c>
      <c r="S10" s="137">
        <f t="shared" si="0"/>
        <v>17</v>
      </c>
      <c r="T10" s="137">
        <f t="shared" si="1"/>
        <v>2013</v>
      </c>
      <c r="U10" s="138">
        <f t="shared" si="2"/>
        <v>0.86458333333333337</v>
      </c>
      <c r="V10" s="140" t="str">
        <f>AC17</f>
        <v>Galatasaray</v>
      </c>
      <c r="W10" s="156">
        <v>1</v>
      </c>
      <c r="X10" s="157">
        <v>6</v>
      </c>
      <c r="Y10" s="147" t="str">
        <f>AC18</f>
        <v>Real Madrid</v>
      </c>
      <c r="Z10" s="179"/>
      <c r="AB10" s="160">
        <f>IF(AJ10&gt;AJ9,1,0)+IF(AJ10&gt;AJ10,1,0)+IF(AJ10&gt;AJ11,1,0)+IF(AJ10&gt;AJ12,1,0)+1</f>
        <v>4</v>
      </c>
      <c r="AC10" s="161" t="str">
        <f>INDEX(T,28,langID)</f>
        <v>Man. United</v>
      </c>
      <c r="AD10" s="162">
        <f>COUNTIF(BD9:BE104,CONCATENATE(AC10,"_win"))</f>
        <v>2</v>
      </c>
      <c r="AE10" s="162">
        <f>COUNTIF(BD9:BE104,CONCATENATE(AC10,"_draw"))</f>
        <v>2</v>
      </c>
      <c r="AF10" s="162">
        <f>COUNTIF(BD9:BE104,CONCATENATE(AC10,"_lose"))</f>
        <v>0</v>
      </c>
      <c r="AG10" s="162">
        <f>SUMIF(AZ9:AZ104,CONCATENATE("=",AC10),BA9:BA104)+SUMIF(AV9:AV104,CONCATENATE("=",AC10),AW9:AW104)</f>
        <v>6</v>
      </c>
      <c r="AH10" s="162">
        <f>SUMIF(BB9:BB104,CONCATENATE("=",AC10),BC9:BC104)+SUMIF(AX9:AX104,CONCATENATE("=",AC10),AY9:AY104)</f>
        <v>3</v>
      </c>
      <c r="AI10" s="162">
        <f>AD10*3+AE10</f>
        <v>8</v>
      </c>
      <c r="AJ10" s="162">
        <f>0.3+AG10+(AG10-AH10)*100+AD10*1000+AI10*10000000+AS10*10000</f>
        <v>80002306.299999997</v>
      </c>
      <c r="AK10" s="161">
        <f>IF(COUNTIF(AI9:AI12,CONCATENATE("=",AI10))=1,0,COUNTIF(AI9:AI12,CONCATENATE("=",AI10)))*AI10</f>
        <v>0</v>
      </c>
      <c r="AN10" s="162">
        <f>IF(AI10=AM9,1,0)</f>
        <v>0</v>
      </c>
      <c r="AO10" s="162">
        <f>COUNTIF(BF9:BG104,CONCATENATE(AC10,"_win"))</f>
        <v>0</v>
      </c>
      <c r="AP10" s="162">
        <f>SUMIF(BL9:BL104,CONCATENATE("=",AC10),BM9:BM104)*1.01+SUMIF(BH9:BH104,CONCATENATE("=",AC10),BI9:BI104)</f>
        <v>0</v>
      </c>
      <c r="AQ10" s="162">
        <f>SUMIF(BN9:BN104,CONCATENATE("=",AC10),BO9:BO104)+SUMIF(BJ9:BJ104,CONCATENATE("=",AC10),BK9:BK104)</f>
        <v>0</v>
      </c>
      <c r="AR10" s="161">
        <f>300*AO10+(AP10-AQ10)*10+AP10</f>
        <v>0</v>
      </c>
      <c r="AS10" s="161">
        <f>IF(AR10&gt;0,AR10,0)</f>
        <v>0</v>
      </c>
      <c r="AU10" s="161">
        <f>VLOOKUP(I10,AC9:AN61,12,FALSE)+VLOOKUP(F10,AC9:AN61,12,FALSE)</f>
        <v>0</v>
      </c>
      <c r="AV10" s="161" t="str">
        <f t="shared" si="3"/>
        <v>Man. United</v>
      </c>
      <c r="AW10" s="161">
        <f t="shared" si="4"/>
        <v>4</v>
      </c>
      <c r="AX10" s="161" t="str">
        <f t="shared" si="5"/>
        <v>Man. United</v>
      </c>
      <c r="AY10" s="161">
        <f t="shared" si="6"/>
        <v>2</v>
      </c>
      <c r="AZ10" s="161" t="str">
        <f t="shared" si="7"/>
        <v>Bayer 04 Leverkusen</v>
      </c>
      <c r="BA10" s="161">
        <f t="shared" si="8"/>
        <v>2</v>
      </c>
      <c r="BB10" s="161" t="str">
        <f t="shared" si="9"/>
        <v>Bayer 04 Leverkusen</v>
      </c>
      <c r="BC10" s="161">
        <f t="shared" si="10"/>
        <v>4</v>
      </c>
      <c r="BD10" s="161" t="str">
        <f t="shared" si="11"/>
        <v>Man. United_win</v>
      </c>
      <c r="BE10" s="161" t="str">
        <f t="shared" si="12"/>
        <v>Bayer 04 Leverkusen_lose</v>
      </c>
      <c r="BF10" s="161" t="str">
        <f t="shared" si="13"/>
        <v/>
      </c>
      <c r="BG10" s="161" t="str">
        <f t="shared" si="14"/>
        <v/>
      </c>
      <c r="BH10" s="161" t="str">
        <f t="shared" si="15"/>
        <v/>
      </c>
      <c r="BI10" s="161" t="str">
        <f t="shared" si="16"/>
        <v/>
      </c>
      <c r="BJ10" s="161" t="str">
        <f t="shared" si="17"/>
        <v/>
      </c>
      <c r="BK10" s="161" t="str">
        <f t="shared" si="18"/>
        <v/>
      </c>
      <c r="BL10" s="161" t="str">
        <f t="shared" si="19"/>
        <v/>
      </c>
      <c r="BM10" s="161" t="str">
        <f t="shared" si="20"/>
        <v/>
      </c>
      <c r="BN10" s="161" t="str">
        <f t="shared" si="21"/>
        <v/>
      </c>
      <c r="BO10" s="161" t="str">
        <f t="shared" si="22"/>
        <v/>
      </c>
      <c r="BP10" s="161" t="s">
        <v>19</v>
      </c>
      <c r="BQ10" s="161">
        <v>-10</v>
      </c>
      <c r="BR10" s="164" t="s">
        <v>48</v>
      </c>
      <c r="BS10" s="164">
        <v>2</v>
      </c>
      <c r="BU10" s="161">
        <f t="shared" ref="BU10:BU20" si="24">IF(RIGHT(BD10,3)="win",3,IF(RIGHT(BD10,3)="raw",1,IF(RIGHT(BD10,3)="ose",-1,0)))</f>
        <v>3</v>
      </c>
      <c r="BV10" s="161">
        <f t="shared" ref="BV10:BV20" si="25">IF(RIGHT(BE10,3)="win",3,IF(RIGHT(BE10,3)="raw",1,IF(RIGHT(BE10,3)="ose",-1,0)))</f>
        <v>-1</v>
      </c>
      <c r="BW10" s="161">
        <f t="shared" ref="BW10:BX10" si="26">IF(RIGHT(BD22,3)="win",3,IF(RIGHT(BD22,3)="raw",1,IF(RIGHT(BD22,3)="ose",-1,0)))</f>
        <v>-1</v>
      </c>
      <c r="BX10" s="161">
        <f t="shared" si="26"/>
        <v>3</v>
      </c>
    </row>
    <row r="11" spans="1:76" ht="16.5" customHeight="1" x14ac:dyDescent="0.2">
      <c r="A11" s="167"/>
      <c r="B11" s="136" t="str">
        <f>INDEX(T,24,langID)</f>
        <v>Oct</v>
      </c>
      <c r="C11" s="137">
        <v>2</v>
      </c>
      <c r="D11" s="137">
        <v>2013</v>
      </c>
      <c r="E11" s="138">
        <v>0.86458333333333337</v>
      </c>
      <c r="F11" s="140" t="str">
        <f>AC11</f>
        <v>Bayer 04 Leverkusen</v>
      </c>
      <c r="G11" s="156">
        <v>2</v>
      </c>
      <c r="H11" s="157">
        <v>1</v>
      </c>
      <c r="I11" s="139" t="str">
        <f>AC12</f>
        <v>Real Sociedad</v>
      </c>
      <c r="J11" s="19"/>
      <c r="K11" s="25" t="str">
        <f>VLOOKUP(2,AB9:AI12,2,FALSE)</f>
        <v>FC Shakhtar</v>
      </c>
      <c r="L11" s="26">
        <f>VLOOKUP(2,AB9:AI12,3,FALSE)</f>
        <v>1</v>
      </c>
      <c r="M11" s="26">
        <f>VLOOKUP(2,AB9:AI12,4,FALSE)</f>
        <v>2</v>
      </c>
      <c r="N11" s="26">
        <f>VLOOKUP(2,AB9:AI12,5,FALSE)</f>
        <v>1</v>
      </c>
      <c r="O11" s="26" t="str">
        <f>CONCATENATE(VLOOKUP(2,AB9:AI12,6,FALSE)," - ",VLOOKUP(2,AB9:AI12,7,FALSE))</f>
        <v>3 - 5</v>
      </c>
      <c r="P11" s="27">
        <f>VLOOKUP(2,AB9:AI12,8,FALSE)</f>
        <v>5</v>
      </c>
      <c r="Q11" s="19"/>
      <c r="R11" s="136" t="str">
        <f t="shared" si="23"/>
        <v>Oct</v>
      </c>
      <c r="S11" s="137">
        <f t="shared" si="0"/>
        <v>2</v>
      </c>
      <c r="T11" s="137">
        <f t="shared" si="1"/>
        <v>2013</v>
      </c>
      <c r="U11" s="138">
        <f t="shared" si="2"/>
        <v>0.86458333333333337</v>
      </c>
      <c r="V11" s="140" t="str">
        <f>AC18</f>
        <v>Real Madrid</v>
      </c>
      <c r="W11" s="156">
        <v>4</v>
      </c>
      <c r="X11" s="157">
        <v>0</v>
      </c>
      <c r="Y11" s="147" t="str">
        <f>AC19</f>
        <v>FC København</v>
      </c>
      <c r="Z11" s="179"/>
      <c r="AB11" s="160">
        <f>IF(AJ11&gt;AJ9,1,0)+IF(AJ11&gt;AJ10,1,0)+IF(AJ11&gt;AJ11,1,0)+IF(AJ11&gt;AJ12,1,0)+1</f>
        <v>3</v>
      </c>
      <c r="AC11" s="161" t="str">
        <f>INDEX(T,29,langID)</f>
        <v>Bayer 04 Leverkusen</v>
      </c>
      <c r="AD11" s="162">
        <f>COUNTIF(BD9:BE104,CONCATENATE(AC11,"_win"))</f>
        <v>2</v>
      </c>
      <c r="AE11" s="162">
        <f>COUNTIF(BD9:BE104,CONCATENATE(AC11,"_draw"))</f>
        <v>1</v>
      </c>
      <c r="AF11" s="162">
        <f>COUNTIF(BD9:BE104,CONCATENATE(AC11,"_lose"))</f>
        <v>1</v>
      </c>
      <c r="AG11" s="162">
        <f>SUMIF(AZ9:AZ104,CONCATENATE("=",AC11),BA9:BA104)+SUMIF(AV9:AV104,CONCATENATE("=",AC11),AW9:AW104)</f>
        <v>8</v>
      </c>
      <c r="AH11" s="162">
        <f>SUMIF(BB9:BB104,CONCATENATE("=",AC11),BC9:BC104)+SUMIF(AX9:AX104,CONCATENATE("=",AC11),AY9:AY104)</f>
        <v>5</v>
      </c>
      <c r="AI11" s="162">
        <f>AD11*3+AE11</f>
        <v>7</v>
      </c>
      <c r="AJ11" s="162">
        <f>0.2+AG11+(AG11-AH11)*100+AD11*1000+AI11*10000000+AS11*10000</f>
        <v>70002308.200000003</v>
      </c>
      <c r="AK11" s="161">
        <f>IF(COUNTIF(AI9:AI12,CONCATENATE("=",AI11))=1,0,COUNTIF(AI9:AI12,CONCATENATE("=",AI11)))*AI11</f>
        <v>0</v>
      </c>
      <c r="AN11" s="162">
        <f>IF(AI11=AM9,1,0)</f>
        <v>0</v>
      </c>
      <c r="AO11" s="162">
        <f>COUNTIF(BF9:BG104,CONCATENATE(AC11,"_win"))</f>
        <v>0</v>
      </c>
      <c r="AP11" s="162">
        <f>SUMIF(BL9:BL104,CONCATENATE("=",AC11),BM9:BM104)*1.01+SUMIF(BH9:BH104,CONCATENATE("=",AC11),BI9:BI104)</f>
        <v>0</v>
      </c>
      <c r="AQ11" s="162">
        <f>SUMIF(BN9:BN104,CONCATENATE("=",AC11),BO9:BO104)+SUMIF(BJ9:BJ104,CONCATENATE("=",AC11),BK9:BK104)</f>
        <v>0</v>
      </c>
      <c r="AR11" s="161">
        <f>300*AO11+(AP11-AQ11)*10+AP11</f>
        <v>0</v>
      </c>
      <c r="AS11" s="161">
        <f>IF(AR11&gt;0,AR11,0)</f>
        <v>0</v>
      </c>
      <c r="AU11" s="161">
        <f>VLOOKUP(I11,AC9:AN61,12,FALSE)+VLOOKUP(F11,AC9:AN61,12,FALSE)</f>
        <v>0</v>
      </c>
      <c r="AV11" s="161" t="str">
        <f t="shared" si="3"/>
        <v>Bayer 04 Leverkusen</v>
      </c>
      <c r="AW11" s="161">
        <f t="shared" si="4"/>
        <v>2</v>
      </c>
      <c r="AX11" s="161" t="str">
        <f t="shared" si="5"/>
        <v>Bayer 04 Leverkusen</v>
      </c>
      <c r="AY11" s="161">
        <f t="shared" si="6"/>
        <v>1</v>
      </c>
      <c r="AZ11" s="161" t="str">
        <f t="shared" si="7"/>
        <v>Real Sociedad</v>
      </c>
      <c r="BA11" s="161">
        <f t="shared" si="8"/>
        <v>1</v>
      </c>
      <c r="BB11" s="161" t="str">
        <f t="shared" si="9"/>
        <v>Real Sociedad</v>
      </c>
      <c r="BC11" s="161">
        <f t="shared" si="10"/>
        <v>2</v>
      </c>
      <c r="BD11" s="161" t="str">
        <f t="shared" si="11"/>
        <v>Bayer 04 Leverkusen_win</v>
      </c>
      <c r="BE11" s="161" t="str">
        <f t="shared" si="12"/>
        <v>Real Sociedad_lose</v>
      </c>
      <c r="BF11" s="161" t="str">
        <f t="shared" si="13"/>
        <v/>
      </c>
      <c r="BG11" s="161" t="str">
        <f t="shared" si="14"/>
        <v/>
      </c>
      <c r="BH11" s="161" t="str">
        <f t="shared" si="15"/>
        <v/>
      </c>
      <c r="BI11" s="161" t="str">
        <f t="shared" si="16"/>
        <v/>
      </c>
      <c r="BJ11" s="161" t="str">
        <f t="shared" si="17"/>
        <v/>
      </c>
      <c r="BK11" s="161" t="str">
        <f t="shared" si="18"/>
        <v/>
      </c>
      <c r="BL11" s="161" t="str">
        <f t="shared" si="19"/>
        <v/>
      </c>
      <c r="BM11" s="161" t="str">
        <f t="shared" si="20"/>
        <v/>
      </c>
      <c r="BN11" s="161" t="str">
        <f t="shared" si="21"/>
        <v/>
      </c>
      <c r="BO11" s="161" t="str">
        <f t="shared" si="22"/>
        <v/>
      </c>
      <c r="BP11" s="161" t="s">
        <v>20</v>
      </c>
      <c r="BQ11" s="161">
        <v>-9</v>
      </c>
      <c r="BR11" s="165" t="s">
        <v>49</v>
      </c>
      <c r="BS11" s="165">
        <v>3</v>
      </c>
      <c r="BU11" s="161">
        <f t="shared" si="24"/>
        <v>3</v>
      </c>
      <c r="BV11" s="161">
        <f t="shared" si="25"/>
        <v>-1</v>
      </c>
      <c r="BW11" s="161">
        <f t="shared" ref="BW11:BX11" si="27">IF(RIGHT(BD23,3)="win",3,IF(RIGHT(BD23,3)="raw",1,IF(RIGHT(BD23,3)="ose",-1,0)))</f>
        <v>3</v>
      </c>
      <c r="BX11" s="161">
        <f t="shared" si="27"/>
        <v>-1</v>
      </c>
    </row>
    <row r="12" spans="1:76" ht="16.5" customHeight="1" x14ac:dyDescent="0.2">
      <c r="A12" s="167"/>
      <c r="B12" s="136" t="str">
        <f>INDEX(T,24,langID)</f>
        <v>Oct</v>
      </c>
      <c r="C12" s="137">
        <v>2</v>
      </c>
      <c r="D12" s="137">
        <v>2013</v>
      </c>
      <c r="E12" s="138">
        <v>0.86458333333333337</v>
      </c>
      <c r="F12" s="140" t="str">
        <f>AC9</f>
        <v>FC Shakhtar</v>
      </c>
      <c r="G12" s="156">
        <v>1</v>
      </c>
      <c r="H12" s="157">
        <v>1</v>
      </c>
      <c r="I12" s="139" t="str">
        <f>AC10</f>
        <v>Man. United</v>
      </c>
      <c r="J12" s="19"/>
      <c r="K12" s="31" t="str">
        <f>VLOOKUP(1,AB9:AI12,2,FALSE)</f>
        <v>Real Sociedad</v>
      </c>
      <c r="L12" s="32">
        <f>VLOOKUP(1,AB9:AI12,3,FALSE)</f>
        <v>0</v>
      </c>
      <c r="M12" s="32">
        <f>VLOOKUP(1,AB9:AI12,4,FALSE)</f>
        <v>1</v>
      </c>
      <c r="N12" s="32">
        <f>VLOOKUP(1,AB9:AI12,5,FALSE)</f>
        <v>3</v>
      </c>
      <c r="O12" s="32" t="str">
        <f>CONCATENATE(VLOOKUP(1,AB9:AI12,6,FALSE)," - ",VLOOKUP(1,AB9:AI12,7,FALSE))</f>
        <v>1 - 5</v>
      </c>
      <c r="P12" s="33">
        <f>VLOOKUP(1,AB9:AI12,8,FALSE)</f>
        <v>1</v>
      </c>
      <c r="Q12" s="19"/>
      <c r="R12" s="136" t="str">
        <f t="shared" si="23"/>
        <v>Oct</v>
      </c>
      <c r="S12" s="137">
        <f t="shared" si="0"/>
        <v>2</v>
      </c>
      <c r="T12" s="137">
        <f t="shared" si="1"/>
        <v>2013</v>
      </c>
      <c r="U12" s="138">
        <f t="shared" si="2"/>
        <v>0.86458333333333337</v>
      </c>
      <c r="V12" s="140" t="str">
        <f>AC16</f>
        <v>Juventus</v>
      </c>
      <c r="W12" s="156">
        <v>2</v>
      </c>
      <c r="X12" s="157">
        <v>2</v>
      </c>
      <c r="Y12" s="147" t="str">
        <f>AC17</f>
        <v>Galatasaray</v>
      </c>
      <c r="Z12" s="179"/>
      <c r="AB12" s="160">
        <f>IF(AJ12&gt;AJ9,1,0)+IF(AJ12&gt;AJ10,1,0)+IF(AJ12&gt;AJ11,1,0)+IF(AJ12&gt;AJ12,1,0)+1</f>
        <v>1</v>
      </c>
      <c r="AC12" s="161" t="str">
        <f>INDEX(T,30,langID)</f>
        <v>Real Sociedad</v>
      </c>
      <c r="AD12" s="162">
        <f>COUNTIF(BD9:BE104,CONCATENATE(AC12,"_win"))</f>
        <v>0</v>
      </c>
      <c r="AE12" s="162">
        <f>COUNTIF(BD9:BE104,CONCATENATE(AC12,"_draw"))</f>
        <v>1</v>
      </c>
      <c r="AF12" s="162">
        <f>COUNTIF(BD9:BE104,CONCATENATE(AC12,"_lose"))</f>
        <v>3</v>
      </c>
      <c r="AG12" s="162">
        <f>SUMIF(AZ9:AZ104,CONCATENATE("=",AC12),BA9:BA104)+SUMIF(AV9:AV104,CONCATENATE("=",AC12),AW9:AW104)</f>
        <v>1</v>
      </c>
      <c r="AH12" s="162">
        <f>SUMIF(BB9:BB104,CONCATENATE("=",AC12),BC9:BC104)+SUMIF(AX9:AX104,CONCATENATE("=",AC12),AY9:AY104)</f>
        <v>5</v>
      </c>
      <c r="AI12" s="162">
        <f>AD12*3+AE12</f>
        <v>1</v>
      </c>
      <c r="AJ12" s="162">
        <f>0.1+AG12+(AG12-AH12)*100+AD12*1000+AI12*10000000+AS12*10000</f>
        <v>9999601.0999999996</v>
      </c>
      <c r="AK12" s="161">
        <f>IF(COUNTIF(AI9:AI12,CONCATENATE("=",AI12))=1,0,COUNTIF(AI9:AI12,CONCATENATE("=",AI12)))*AI12</f>
        <v>0</v>
      </c>
      <c r="AN12" s="162">
        <f>IF(AI12=AM9,1,0)</f>
        <v>0</v>
      </c>
      <c r="AO12" s="162">
        <f>COUNTIF(BF9:BG104,CONCATENATE(AC12,"_win"))</f>
        <v>0</v>
      </c>
      <c r="AP12" s="162">
        <f>SUMIF(BL9:BL104,CONCATENATE("=",AC12),BM9:BM104)*1.01+SUMIF(BH9:BH104,CONCATENATE("=",AC12),BI9:BI104)</f>
        <v>0</v>
      </c>
      <c r="AQ12" s="162">
        <f>SUMIF(BN9:BN104,CONCATENATE("=",AC12),BO9:BO104)+SUMIF(BJ9:BJ104,CONCATENATE("=",AC12),BK9:BK104)</f>
        <v>0</v>
      </c>
      <c r="AR12" s="161">
        <f>300*AO12+(AP12-AQ12)*10+AP12</f>
        <v>0</v>
      </c>
      <c r="AS12" s="161">
        <f>IF(AR12&gt;0,AR12,0)</f>
        <v>0</v>
      </c>
      <c r="AU12" s="161">
        <f>VLOOKUP(I12,AC9:AN61,12,FALSE)+VLOOKUP(F12,AC9:AN61,12,FALSE)</f>
        <v>1</v>
      </c>
      <c r="AV12" s="161" t="str">
        <f t="shared" si="3"/>
        <v>FC Shakhtar</v>
      </c>
      <c r="AW12" s="161">
        <f t="shared" si="4"/>
        <v>1</v>
      </c>
      <c r="AX12" s="161" t="str">
        <f t="shared" si="5"/>
        <v>FC Shakhtar</v>
      </c>
      <c r="AY12" s="161">
        <f t="shared" si="6"/>
        <v>1</v>
      </c>
      <c r="AZ12" s="161" t="str">
        <f t="shared" si="7"/>
        <v>Man. United</v>
      </c>
      <c r="BA12" s="161">
        <f t="shared" si="8"/>
        <v>1</v>
      </c>
      <c r="BB12" s="161" t="str">
        <f t="shared" si="9"/>
        <v>Man. United</v>
      </c>
      <c r="BC12" s="161">
        <f t="shared" si="10"/>
        <v>1</v>
      </c>
      <c r="BD12" s="161" t="str">
        <f t="shared" si="11"/>
        <v>FC Shakhtar_draw</v>
      </c>
      <c r="BE12" s="161" t="str">
        <f t="shared" si="12"/>
        <v>Man. United_draw</v>
      </c>
      <c r="BF12" s="161" t="str">
        <f t="shared" si="13"/>
        <v/>
      </c>
      <c r="BG12" s="161" t="str">
        <f t="shared" si="14"/>
        <v/>
      </c>
      <c r="BH12" s="161" t="str">
        <f t="shared" si="15"/>
        <v/>
      </c>
      <c r="BI12" s="161" t="str">
        <f t="shared" si="16"/>
        <v/>
      </c>
      <c r="BJ12" s="161" t="str">
        <f t="shared" si="17"/>
        <v/>
      </c>
      <c r="BK12" s="161" t="str">
        <f t="shared" si="18"/>
        <v/>
      </c>
      <c r="BL12" s="161" t="str">
        <f t="shared" si="19"/>
        <v/>
      </c>
      <c r="BM12" s="161" t="str">
        <f t="shared" si="20"/>
        <v/>
      </c>
      <c r="BN12" s="161" t="str">
        <f t="shared" si="21"/>
        <v/>
      </c>
      <c r="BO12" s="161" t="str">
        <f t="shared" si="22"/>
        <v/>
      </c>
      <c r="BP12" s="161" t="s">
        <v>21</v>
      </c>
      <c r="BQ12" s="161">
        <v>-8</v>
      </c>
      <c r="BR12" s="165" t="s">
        <v>50</v>
      </c>
      <c r="BS12" s="165">
        <v>4</v>
      </c>
      <c r="BU12" s="161">
        <f t="shared" si="24"/>
        <v>1</v>
      </c>
      <c r="BV12" s="161">
        <f t="shared" si="25"/>
        <v>1</v>
      </c>
      <c r="BW12" s="161">
        <f t="shared" ref="BW12:BX12" si="28">IF(RIGHT(BD24,3)="win",3,IF(RIGHT(BD24,3)="raw",1,IF(RIGHT(BD24,3)="ose",-1,0)))</f>
        <v>1</v>
      </c>
      <c r="BX12" s="161">
        <f t="shared" si="28"/>
        <v>1</v>
      </c>
    </row>
    <row r="13" spans="1:76" ht="16.5" customHeight="1" x14ac:dyDescent="0.2">
      <c r="A13" s="167"/>
      <c r="B13" s="136" t="str">
        <f>INDEX(T,24,langID)</f>
        <v>Oct</v>
      </c>
      <c r="C13" s="137">
        <v>23</v>
      </c>
      <c r="D13" s="137">
        <v>2013</v>
      </c>
      <c r="E13" s="138">
        <v>0.86458333333333337</v>
      </c>
      <c r="F13" s="140" t="str">
        <f>AC11</f>
        <v>Bayer 04 Leverkusen</v>
      </c>
      <c r="G13" s="156">
        <v>4</v>
      </c>
      <c r="H13" s="157">
        <v>0</v>
      </c>
      <c r="I13" s="139" t="str">
        <f>AC9</f>
        <v>FC Shakhtar</v>
      </c>
      <c r="J13" s="19"/>
      <c r="K13" s="19"/>
      <c r="L13" s="34"/>
      <c r="M13" s="34"/>
      <c r="N13" s="34"/>
      <c r="O13" s="34"/>
      <c r="P13" s="34"/>
      <c r="Q13" s="19"/>
      <c r="R13" s="136" t="str">
        <f t="shared" si="23"/>
        <v>Oct</v>
      </c>
      <c r="S13" s="137">
        <f t="shared" si="0"/>
        <v>23</v>
      </c>
      <c r="T13" s="137">
        <f t="shared" si="1"/>
        <v>2013</v>
      </c>
      <c r="U13" s="138">
        <f t="shared" si="2"/>
        <v>0.86458333333333337</v>
      </c>
      <c r="V13" s="140" t="str">
        <f>AC18</f>
        <v>Real Madrid</v>
      </c>
      <c r="W13" s="156">
        <v>2</v>
      </c>
      <c r="X13" s="157">
        <v>1</v>
      </c>
      <c r="Y13" s="147" t="str">
        <f>AC16</f>
        <v>Juventus</v>
      </c>
      <c r="Z13" s="179"/>
      <c r="AK13" s="161">
        <f>MAX(AK9:AK12)</f>
        <v>0</v>
      </c>
      <c r="AU13" s="161">
        <f>VLOOKUP(I13,AC9:AN61,12,FALSE)+VLOOKUP(F13,AC9:AN61,12,FALSE)</f>
        <v>1</v>
      </c>
      <c r="AV13" s="161" t="str">
        <f t="shared" si="3"/>
        <v>Bayer 04 Leverkusen</v>
      </c>
      <c r="AW13" s="161">
        <f t="shared" si="4"/>
        <v>4</v>
      </c>
      <c r="AX13" s="161" t="str">
        <f t="shared" si="5"/>
        <v>Bayer 04 Leverkusen</v>
      </c>
      <c r="AY13" s="161">
        <f t="shared" si="6"/>
        <v>0</v>
      </c>
      <c r="AZ13" s="161" t="str">
        <f t="shared" si="7"/>
        <v>FC Shakhtar</v>
      </c>
      <c r="BA13" s="161">
        <f t="shared" si="8"/>
        <v>0</v>
      </c>
      <c r="BB13" s="161" t="str">
        <f t="shared" si="9"/>
        <v>FC Shakhtar</v>
      </c>
      <c r="BC13" s="161">
        <f t="shared" si="10"/>
        <v>4</v>
      </c>
      <c r="BD13" s="161" t="str">
        <f t="shared" si="11"/>
        <v>Bayer 04 Leverkusen_win</v>
      </c>
      <c r="BE13" s="161" t="str">
        <f t="shared" si="12"/>
        <v>FC Shakhtar_lose</v>
      </c>
      <c r="BF13" s="161" t="str">
        <f t="shared" si="13"/>
        <v/>
      </c>
      <c r="BG13" s="161" t="str">
        <f t="shared" si="14"/>
        <v/>
      </c>
      <c r="BH13" s="161" t="str">
        <f t="shared" si="15"/>
        <v/>
      </c>
      <c r="BI13" s="161" t="str">
        <f t="shared" si="16"/>
        <v/>
      </c>
      <c r="BJ13" s="161" t="str">
        <f t="shared" si="17"/>
        <v/>
      </c>
      <c r="BK13" s="161" t="str">
        <f t="shared" si="18"/>
        <v/>
      </c>
      <c r="BL13" s="161" t="str">
        <f t="shared" si="19"/>
        <v/>
      </c>
      <c r="BM13" s="161" t="str">
        <f t="shared" si="20"/>
        <v/>
      </c>
      <c r="BN13" s="161" t="str">
        <f t="shared" si="21"/>
        <v/>
      </c>
      <c r="BO13" s="161" t="str">
        <f t="shared" si="22"/>
        <v/>
      </c>
      <c r="BP13" s="161" t="s">
        <v>22</v>
      </c>
      <c r="BQ13" s="161">
        <v>-7</v>
      </c>
      <c r="BR13" s="165" t="s">
        <v>51</v>
      </c>
      <c r="BS13" s="165">
        <v>5</v>
      </c>
      <c r="BU13" s="161">
        <f t="shared" si="24"/>
        <v>3</v>
      </c>
      <c r="BV13" s="161">
        <f t="shared" si="25"/>
        <v>-1</v>
      </c>
      <c r="BW13" s="161">
        <f t="shared" ref="BW13:BX13" si="29">IF(RIGHT(BD25,3)="win",3,IF(RIGHT(BD25,3)="raw",1,IF(RIGHT(BD25,3)="ose",-1,0)))</f>
        <v>3</v>
      </c>
      <c r="BX13" s="161">
        <f t="shared" si="29"/>
        <v>-1</v>
      </c>
    </row>
    <row r="14" spans="1:76" ht="16.5" customHeight="1" x14ac:dyDescent="0.2">
      <c r="A14" s="167"/>
      <c r="B14" s="136" t="str">
        <f>INDEX(T,24,langID)</f>
        <v>Oct</v>
      </c>
      <c r="C14" s="137">
        <v>23</v>
      </c>
      <c r="D14" s="137">
        <v>2013</v>
      </c>
      <c r="E14" s="138">
        <v>0.86458333333333337</v>
      </c>
      <c r="F14" s="140" t="str">
        <f>AC10</f>
        <v>Man. United</v>
      </c>
      <c r="G14" s="156">
        <v>1</v>
      </c>
      <c r="H14" s="157">
        <v>0</v>
      </c>
      <c r="I14" s="139" t="str">
        <f>AC12</f>
        <v>Real Sociedad</v>
      </c>
      <c r="J14" s="19"/>
      <c r="K14" s="197" t="str">
        <f>INDEX(T,4,langID) &amp; " B"</f>
        <v>Group B</v>
      </c>
      <c r="L14" s="181" t="str">
        <f>INDEX(T,7,langID)</f>
        <v>Win</v>
      </c>
      <c r="M14" s="181" t="str">
        <f>INDEX(T,8,langID)</f>
        <v>Draw</v>
      </c>
      <c r="N14" s="181" t="str">
        <f>INDEX(T,9,langID)</f>
        <v>Lose</v>
      </c>
      <c r="O14" s="181" t="str">
        <f>INDEX(T,10,langID)</f>
        <v>F - A</v>
      </c>
      <c r="P14" s="183" t="str">
        <f>INDEX(T,11,langID)</f>
        <v>Pts</v>
      </c>
      <c r="Q14" s="19"/>
      <c r="R14" s="136" t="str">
        <f t="shared" si="23"/>
        <v>Oct</v>
      </c>
      <c r="S14" s="137">
        <f t="shared" si="0"/>
        <v>23</v>
      </c>
      <c r="T14" s="137">
        <f t="shared" si="1"/>
        <v>2013</v>
      </c>
      <c r="U14" s="138">
        <f t="shared" si="2"/>
        <v>0.86458333333333337</v>
      </c>
      <c r="V14" s="140" t="str">
        <f>AC17</f>
        <v>Galatasaray</v>
      </c>
      <c r="W14" s="156">
        <v>3</v>
      </c>
      <c r="X14" s="157">
        <v>1</v>
      </c>
      <c r="Y14" s="147" t="str">
        <f>AC19</f>
        <v>FC København</v>
      </c>
      <c r="Z14" s="179"/>
      <c r="AU14" s="161">
        <f>VLOOKUP(I14,AC9:AN61,12,FALSE)+VLOOKUP(F14,AC9:AN61,12,FALSE)</f>
        <v>0</v>
      </c>
      <c r="AV14" s="161" t="str">
        <f t="shared" si="3"/>
        <v>Man. United</v>
      </c>
      <c r="AW14" s="161">
        <f t="shared" si="4"/>
        <v>1</v>
      </c>
      <c r="AX14" s="161" t="str">
        <f t="shared" si="5"/>
        <v>Man. United</v>
      </c>
      <c r="AY14" s="161">
        <f t="shared" si="6"/>
        <v>0</v>
      </c>
      <c r="AZ14" s="161" t="str">
        <f t="shared" si="7"/>
        <v>Real Sociedad</v>
      </c>
      <c r="BA14" s="161">
        <f t="shared" si="8"/>
        <v>0</v>
      </c>
      <c r="BB14" s="161" t="str">
        <f t="shared" si="9"/>
        <v>Real Sociedad</v>
      </c>
      <c r="BC14" s="161">
        <f t="shared" si="10"/>
        <v>1</v>
      </c>
      <c r="BD14" s="161" t="str">
        <f t="shared" si="11"/>
        <v>Man. United_win</v>
      </c>
      <c r="BE14" s="161" t="str">
        <f t="shared" si="12"/>
        <v>Real Sociedad_lose</v>
      </c>
      <c r="BF14" s="161" t="str">
        <f t="shared" si="13"/>
        <v/>
      </c>
      <c r="BG14" s="161" t="str">
        <f t="shared" si="14"/>
        <v/>
      </c>
      <c r="BH14" s="161" t="str">
        <f t="shared" si="15"/>
        <v/>
      </c>
      <c r="BI14" s="161" t="str">
        <f t="shared" si="16"/>
        <v/>
      </c>
      <c r="BJ14" s="161" t="str">
        <f t="shared" si="17"/>
        <v/>
      </c>
      <c r="BK14" s="161" t="str">
        <f t="shared" si="18"/>
        <v/>
      </c>
      <c r="BL14" s="161" t="str">
        <f t="shared" si="19"/>
        <v/>
      </c>
      <c r="BM14" s="161" t="str">
        <f t="shared" si="20"/>
        <v/>
      </c>
      <c r="BN14" s="161" t="str">
        <f t="shared" si="21"/>
        <v/>
      </c>
      <c r="BO14" s="161" t="str">
        <f t="shared" si="22"/>
        <v/>
      </c>
      <c r="BP14" s="161" t="s">
        <v>23</v>
      </c>
      <c r="BQ14" s="161">
        <v>-6</v>
      </c>
      <c r="BR14" s="165" t="s">
        <v>52</v>
      </c>
      <c r="BS14" s="165">
        <v>6</v>
      </c>
      <c r="BU14" s="161">
        <f t="shared" si="24"/>
        <v>3</v>
      </c>
      <c r="BV14" s="161">
        <f t="shared" si="25"/>
        <v>-1</v>
      </c>
      <c r="BW14" s="161">
        <f t="shared" ref="BW14:BX14" si="30">IF(RIGHT(BD26,3)="win",3,IF(RIGHT(BD26,3)="raw",1,IF(RIGHT(BD26,3)="ose",-1,0)))</f>
        <v>3</v>
      </c>
      <c r="BX14" s="161">
        <f t="shared" si="30"/>
        <v>-1</v>
      </c>
    </row>
    <row r="15" spans="1:76" ht="16.5" customHeight="1" x14ac:dyDescent="0.2">
      <c r="A15" s="167"/>
      <c r="B15" s="136" t="str">
        <f>INDEX(T,25,langID)</f>
        <v>Nov</v>
      </c>
      <c r="C15" s="137">
        <v>5</v>
      </c>
      <c r="D15" s="137">
        <v>2013</v>
      </c>
      <c r="E15" s="138">
        <v>0.86458333333333337</v>
      </c>
      <c r="F15" s="140" t="str">
        <f>AC9</f>
        <v>FC Shakhtar</v>
      </c>
      <c r="G15" s="156">
        <v>0</v>
      </c>
      <c r="H15" s="157">
        <v>0</v>
      </c>
      <c r="I15" s="139" t="str">
        <f>AC11</f>
        <v>Bayer 04 Leverkusen</v>
      </c>
      <c r="J15" s="19"/>
      <c r="K15" s="198"/>
      <c r="L15" s="182"/>
      <c r="M15" s="182"/>
      <c r="N15" s="182"/>
      <c r="O15" s="182"/>
      <c r="P15" s="184"/>
      <c r="Q15" s="19"/>
      <c r="R15" s="136" t="str">
        <f t="shared" si="23"/>
        <v>Nov</v>
      </c>
      <c r="S15" s="137">
        <f t="shared" si="0"/>
        <v>5</v>
      </c>
      <c r="T15" s="137">
        <f t="shared" si="1"/>
        <v>2013</v>
      </c>
      <c r="U15" s="138">
        <f t="shared" si="2"/>
        <v>0.86458333333333337</v>
      </c>
      <c r="V15" s="153" t="str">
        <f>AC16</f>
        <v>Juventus</v>
      </c>
      <c r="W15" s="156">
        <v>2</v>
      </c>
      <c r="X15" s="157">
        <v>2</v>
      </c>
      <c r="Y15" s="152" t="str">
        <f>AC18</f>
        <v>Real Madrid</v>
      </c>
      <c r="Z15" s="179"/>
      <c r="AU15" s="161">
        <f>VLOOKUP(I15,AC9:AN61,12,FALSE)+VLOOKUP(F15,AC9:AN61,12,FALSE)</f>
        <v>1</v>
      </c>
      <c r="AV15" s="161" t="str">
        <f t="shared" si="3"/>
        <v>FC Shakhtar</v>
      </c>
      <c r="AW15" s="161">
        <f t="shared" si="4"/>
        <v>0</v>
      </c>
      <c r="AX15" s="161" t="str">
        <f t="shared" si="5"/>
        <v>FC Shakhtar</v>
      </c>
      <c r="AY15" s="161">
        <f t="shared" si="6"/>
        <v>0</v>
      </c>
      <c r="AZ15" s="161" t="str">
        <f t="shared" si="7"/>
        <v>Bayer 04 Leverkusen</v>
      </c>
      <c r="BA15" s="161">
        <f t="shared" si="8"/>
        <v>0</v>
      </c>
      <c r="BB15" s="161" t="str">
        <f t="shared" si="9"/>
        <v>Bayer 04 Leverkusen</v>
      </c>
      <c r="BC15" s="161">
        <f t="shared" si="10"/>
        <v>0</v>
      </c>
      <c r="BD15" s="161" t="str">
        <f t="shared" si="11"/>
        <v>FC Shakhtar_draw</v>
      </c>
      <c r="BE15" s="161" t="str">
        <f t="shared" si="12"/>
        <v>Bayer 04 Leverkusen_draw</v>
      </c>
      <c r="BF15" s="161" t="str">
        <f t="shared" si="13"/>
        <v/>
      </c>
      <c r="BG15" s="161" t="str">
        <f t="shared" si="14"/>
        <v/>
      </c>
      <c r="BH15" s="161" t="str">
        <f t="shared" si="15"/>
        <v/>
      </c>
      <c r="BI15" s="161" t="str">
        <f t="shared" si="16"/>
        <v/>
      </c>
      <c r="BJ15" s="161" t="str">
        <f t="shared" si="17"/>
        <v/>
      </c>
      <c r="BK15" s="161" t="str">
        <f t="shared" si="18"/>
        <v/>
      </c>
      <c r="BL15" s="161" t="str">
        <f t="shared" si="19"/>
        <v/>
      </c>
      <c r="BM15" s="161" t="str">
        <f t="shared" si="20"/>
        <v/>
      </c>
      <c r="BN15" s="161" t="str">
        <f t="shared" si="21"/>
        <v/>
      </c>
      <c r="BO15" s="161" t="str">
        <f t="shared" si="22"/>
        <v/>
      </c>
      <c r="BP15" s="161" t="s">
        <v>24</v>
      </c>
      <c r="BQ15" s="161">
        <v>-5</v>
      </c>
      <c r="BR15" s="165" t="s">
        <v>155</v>
      </c>
      <c r="BS15" s="165">
        <v>7</v>
      </c>
      <c r="BU15" s="161">
        <f t="shared" si="24"/>
        <v>1</v>
      </c>
      <c r="BV15" s="161">
        <f t="shared" si="25"/>
        <v>1</v>
      </c>
      <c r="BW15" s="161">
        <f t="shared" ref="BW15:BX15" si="31">IF(RIGHT(BD27,3)="win",3,IF(RIGHT(BD27,3)="raw",1,IF(RIGHT(BD27,3)="ose",-1,0)))</f>
        <v>1</v>
      </c>
      <c r="BX15" s="161">
        <f t="shared" si="31"/>
        <v>1</v>
      </c>
    </row>
    <row r="16" spans="1:76" ht="16.5" customHeight="1" x14ac:dyDescent="0.2">
      <c r="A16" s="167"/>
      <c r="B16" s="136" t="str">
        <f>INDEX(T,25,langID)</f>
        <v>Nov</v>
      </c>
      <c r="C16" s="137">
        <v>5</v>
      </c>
      <c r="D16" s="137">
        <v>2013</v>
      </c>
      <c r="E16" s="138">
        <v>0.86458333333333337</v>
      </c>
      <c r="F16" s="140" t="str">
        <f>AC12</f>
        <v>Real Sociedad</v>
      </c>
      <c r="G16" s="156">
        <v>0</v>
      </c>
      <c r="H16" s="157">
        <v>0</v>
      </c>
      <c r="I16" s="139" t="str">
        <f>AC10</f>
        <v>Man. United</v>
      </c>
      <c r="J16" s="19"/>
      <c r="K16" s="22" t="str">
        <f>VLOOKUP(4,AB16:AI19,2,FALSE)</f>
        <v>Real Madrid</v>
      </c>
      <c r="L16" s="23">
        <f>VLOOKUP(4,AB16:AI19,3,FALSE)</f>
        <v>3</v>
      </c>
      <c r="M16" s="23">
        <f>VLOOKUP(4,AB16:AI19,4,FALSE)</f>
        <v>1</v>
      </c>
      <c r="N16" s="23">
        <f>VLOOKUP(4,AB16:AI19,5,FALSE)</f>
        <v>0</v>
      </c>
      <c r="O16" s="23" t="str">
        <f>CONCATENATE(VLOOKUP(4,AB16:AI19,6,FALSE)," - ",VLOOKUP(4,AB16:AI19,7,FALSE))</f>
        <v>14 - 4</v>
      </c>
      <c r="P16" s="24">
        <f>VLOOKUP(4,AB16:AI19,8,FALSE)</f>
        <v>10</v>
      </c>
      <c r="Q16" s="19"/>
      <c r="R16" s="136" t="str">
        <f t="shared" si="23"/>
        <v>Nov</v>
      </c>
      <c r="S16" s="137">
        <f t="shared" si="0"/>
        <v>5</v>
      </c>
      <c r="T16" s="137">
        <f t="shared" si="1"/>
        <v>2013</v>
      </c>
      <c r="U16" s="138">
        <f t="shared" si="2"/>
        <v>0.86458333333333337</v>
      </c>
      <c r="V16" s="153" t="str">
        <f>AC19</f>
        <v>FC København</v>
      </c>
      <c r="W16" s="156">
        <v>1</v>
      </c>
      <c r="X16" s="157">
        <v>0</v>
      </c>
      <c r="Y16" s="152" t="str">
        <f>AC17</f>
        <v>Galatasaray</v>
      </c>
      <c r="Z16" s="179"/>
      <c r="AB16" s="160">
        <f>IF(AJ16&gt;AJ16,1,0)+IF(AJ16&gt;AJ17,1,0)+IF(AJ16&gt;AJ18,1,0)+IF(AJ16&gt;AJ19,1,0)+1</f>
        <v>1</v>
      </c>
      <c r="AC16" s="161" t="str">
        <f>INDEX(T,31,langID)</f>
        <v>Juventus</v>
      </c>
      <c r="AD16" s="162">
        <f>COUNTIF(BD9:BE104,CONCATENATE(AC16,"_win"))</f>
        <v>0</v>
      </c>
      <c r="AE16" s="162">
        <f>COUNTIF(BD9:BE104,CONCATENATE(AC16,"_draw"))</f>
        <v>3</v>
      </c>
      <c r="AF16" s="162">
        <f>COUNTIF(BD9:BE104,CONCATENATE(AC16,"_lose"))</f>
        <v>1</v>
      </c>
      <c r="AG16" s="162">
        <f>SUMIF(AZ9:AZ104,CONCATENATE("=",AC16),BA9:BA104)+SUMIF(AV9:AV104,CONCATENATE("=",AC16),AW9:AW104)</f>
        <v>6</v>
      </c>
      <c r="AH16" s="162">
        <f>SUMIF(BB9:BB104,CONCATENATE("=",AC16),BC9:BC104)+SUMIF(AX9:AX104,CONCATENATE("=",AC16),AY9:AY104)</f>
        <v>7</v>
      </c>
      <c r="AI16" s="162">
        <f>AD16*3+AE16</f>
        <v>3</v>
      </c>
      <c r="AJ16" s="162">
        <f>0.4+AG16+(AG16-AH16)*100+AD16*1000+AI16*10000000+AS16*10000</f>
        <v>29999906.399999999</v>
      </c>
      <c r="AK16" s="161">
        <f>IF(COUNTIF(AI16:AI19,CONCATENATE("=",AI16))=1,0,COUNTIF(AI16:AI19,CONCATENATE("=",AI16)))*AI16</f>
        <v>0</v>
      </c>
      <c r="AM16" s="162">
        <f>IF(AK16=AK20,AI16,IF(AK17=AK20,AI17,IF(AK18=AK20,AI18,AI19)))</f>
        <v>4</v>
      </c>
      <c r="AN16" s="162">
        <f>IF(AI16=AM16,1,0)</f>
        <v>0</v>
      </c>
      <c r="AO16" s="162">
        <f>COUNTIF(BF9:BG104,CONCATENATE(AC16,"_win"))</f>
        <v>0</v>
      </c>
      <c r="AP16" s="162">
        <f>SUMIF(BL9:BL104,CONCATENATE("=",AC16),BM9:BM104)*1.01+SUMIF(BH9:BH104,CONCATENATE("=",AC16),BI9:BI104)</f>
        <v>0</v>
      </c>
      <c r="AQ16" s="162">
        <f>SUMIF(BN9:BN104,CONCATENATE("=",AC16),BO9:BO104)+SUMIF(BJ9:BJ104,CONCATENATE("=",AC16),BK9:BK104)</f>
        <v>0</v>
      </c>
      <c r="AR16" s="161">
        <f>300*AO16+(AP16-AQ16)*10+AP16</f>
        <v>0</v>
      </c>
      <c r="AS16" s="161">
        <f>IF(AR16&gt;0,AR16,0)</f>
        <v>0</v>
      </c>
      <c r="AU16" s="161">
        <f>VLOOKUP(I16,AC9:AN61,12,FALSE)+VLOOKUP(F16,AC9:AN61,12,FALSE)</f>
        <v>0</v>
      </c>
      <c r="AV16" s="161" t="str">
        <f t="shared" si="3"/>
        <v>Real Sociedad</v>
      </c>
      <c r="AW16" s="161">
        <f t="shared" si="4"/>
        <v>0</v>
      </c>
      <c r="AX16" s="161" t="str">
        <f t="shared" si="5"/>
        <v>Real Sociedad</v>
      </c>
      <c r="AY16" s="161">
        <f t="shared" si="6"/>
        <v>0</v>
      </c>
      <c r="AZ16" s="161" t="str">
        <f t="shared" si="7"/>
        <v>Man. United</v>
      </c>
      <c r="BA16" s="161">
        <f t="shared" si="8"/>
        <v>0</v>
      </c>
      <c r="BB16" s="161" t="str">
        <f t="shared" si="9"/>
        <v>Man. United</v>
      </c>
      <c r="BC16" s="161">
        <f t="shared" si="10"/>
        <v>0</v>
      </c>
      <c r="BD16" s="161" t="str">
        <f t="shared" si="11"/>
        <v>Real Sociedad_draw</v>
      </c>
      <c r="BE16" s="161" t="str">
        <f t="shared" si="12"/>
        <v>Man. United_draw</v>
      </c>
      <c r="BF16" s="161" t="str">
        <f t="shared" si="13"/>
        <v/>
      </c>
      <c r="BG16" s="161" t="str">
        <f t="shared" si="14"/>
        <v/>
      </c>
      <c r="BH16" s="161" t="str">
        <f t="shared" si="15"/>
        <v/>
      </c>
      <c r="BI16" s="161" t="str">
        <f t="shared" si="16"/>
        <v/>
      </c>
      <c r="BJ16" s="161" t="str">
        <f t="shared" si="17"/>
        <v/>
      </c>
      <c r="BK16" s="161" t="str">
        <f t="shared" si="18"/>
        <v/>
      </c>
      <c r="BL16" s="161" t="str">
        <f t="shared" si="19"/>
        <v/>
      </c>
      <c r="BM16" s="161" t="str">
        <f t="shared" si="20"/>
        <v/>
      </c>
      <c r="BN16" s="161" t="str">
        <f t="shared" si="21"/>
        <v/>
      </c>
      <c r="BO16" s="161" t="str">
        <f t="shared" si="22"/>
        <v/>
      </c>
      <c r="BP16" s="161" t="s">
        <v>25</v>
      </c>
      <c r="BQ16" s="161">
        <v>-4</v>
      </c>
      <c r="BR16" s="165" t="s">
        <v>53</v>
      </c>
      <c r="BS16" s="164">
        <v>8</v>
      </c>
      <c r="BU16" s="161">
        <f t="shared" si="24"/>
        <v>1</v>
      </c>
      <c r="BV16" s="161">
        <f t="shared" si="25"/>
        <v>1</v>
      </c>
      <c r="BW16" s="161">
        <f t="shared" ref="BW16:BX16" si="32">IF(RIGHT(BD28,3)="win",3,IF(RIGHT(BD28,3)="raw",1,IF(RIGHT(BD28,3)="ose",-1,0)))</f>
        <v>3</v>
      </c>
      <c r="BX16" s="161">
        <f t="shared" si="32"/>
        <v>-1</v>
      </c>
    </row>
    <row r="17" spans="1:76" ht="16.5" customHeight="1" x14ac:dyDescent="0.2">
      <c r="A17" s="167"/>
      <c r="B17" s="136" t="str">
        <f>INDEX(T,25,langID)</f>
        <v>Nov</v>
      </c>
      <c r="C17" s="137">
        <v>27</v>
      </c>
      <c r="D17" s="137">
        <v>2013</v>
      </c>
      <c r="E17" s="138">
        <v>0.86458333333333337</v>
      </c>
      <c r="F17" s="140" t="str">
        <f>AC9</f>
        <v>FC Shakhtar</v>
      </c>
      <c r="G17" s="156"/>
      <c r="H17" s="157"/>
      <c r="I17" s="139" t="str">
        <f>AC12</f>
        <v>Real Sociedad</v>
      </c>
      <c r="J17" s="19"/>
      <c r="K17" s="25" t="str">
        <f>VLOOKUP(3,AB16:AI19,2,FALSE)</f>
        <v>Galatasaray</v>
      </c>
      <c r="L17" s="26">
        <f>VLOOKUP(3,AB16:AI19,3,FALSE)</f>
        <v>1</v>
      </c>
      <c r="M17" s="26">
        <f>VLOOKUP(3,AB16:AI19,4,FALSE)</f>
        <v>1</v>
      </c>
      <c r="N17" s="26">
        <f>VLOOKUP(3,AB16:AI19,5,FALSE)</f>
        <v>2</v>
      </c>
      <c r="O17" s="26" t="str">
        <f>CONCATENATE(VLOOKUP(3,AB16:AI19,6,FALSE)," - ",VLOOKUP(3,AB16:AI19,7,FALSE))</f>
        <v>6 - 10</v>
      </c>
      <c r="P17" s="27">
        <f>VLOOKUP(3,AB16:AI19,8,FALSE)</f>
        <v>4</v>
      </c>
      <c r="Q17" s="19"/>
      <c r="R17" s="136" t="str">
        <f t="shared" si="23"/>
        <v>Nov</v>
      </c>
      <c r="S17" s="137">
        <f t="shared" si="0"/>
        <v>27</v>
      </c>
      <c r="T17" s="137">
        <f t="shared" si="1"/>
        <v>2013</v>
      </c>
      <c r="U17" s="138">
        <f t="shared" si="2"/>
        <v>0.86458333333333337</v>
      </c>
      <c r="V17" s="140" t="str">
        <f>AC16</f>
        <v>Juventus</v>
      </c>
      <c r="W17" s="156"/>
      <c r="X17" s="157"/>
      <c r="Y17" s="147" t="str">
        <f>AC19</f>
        <v>FC København</v>
      </c>
      <c r="Z17" s="179"/>
      <c r="AB17" s="160">
        <f>IF(AJ17&gt;AJ16,1,0)+IF(AJ17&gt;AJ17,1,0)+IF(AJ17&gt;AJ18,1,0)+IF(AJ17&gt;AJ19,1,0)+1</f>
        <v>3</v>
      </c>
      <c r="AC17" s="161" t="str">
        <f>INDEX(T,32,langID)</f>
        <v>Galatasaray</v>
      </c>
      <c r="AD17" s="162">
        <f>COUNTIF(BD9:BE104,CONCATENATE(AC17,"_win"))</f>
        <v>1</v>
      </c>
      <c r="AE17" s="162">
        <f>COUNTIF(BD9:BE104,CONCATENATE(AC17,"_draw"))</f>
        <v>1</v>
      </c>
      <c r="AF17" s="162">
        <f>COUNTIF(BD9:BE104,CONCATENATE(AC17,"_lose"))</f>
        <v>2</v>
      </c>
      <c r="AG17" s="162">
        <f>SUMIF(AZ9:AZ104,CONCATENATE("=",AC17),BA9:BA104)+SUMIF(AV9:AV104,CONCATENATE("=",AC17),AW9:AW104)</f>
        <v>6</v>
      </c>
      <c r="AH17" s="162">
        <f>SUMIF(BB9:BB104,CONCATENATE("=",AC17),BC9:BC104)+SUMIF(AX9:AX104,CONCATENATE("=",AC17),AY9:AY104)</f>
        <v>10</v>
      </c>
      <c r="AI17" s="162">
        <f>AD17*3+AE17</f>
        <v>4</v>
      </c>
      <c r="AJ17" s="162">
        <f>0.3+AG17+(AG17-AH17)*100+AD17*1000+AI17*10000000+AS17*10000</f>
        <v>43130606.299999997</v>
      </c>
      <c r="AK17" s="161">
        <f>IF(COUNTIF(AI16:AI19,CONCATENATE("=",AI17))=1,0,COUNTIF(AI16:AI19,CONCATENATE("=",AI17)))*AI17</f>
        <v>8</v>
      </c>
      <c r="AN17" s="162">
        <f>IF(AI17=AM16,1,0)</f>
        <v>1</v>
      </c>
      <c r="AO17" s="162">
        <f>COUNTIF(BF9:BG104,CONCATENATE(AC17,"_win"))</f>
        <v>1</v>
      </c>
      <c r="AP17" s="162">
        <f>SUMIF(BL9:BL104,CONCATENATE("=",AC17),BM9:BM104)*1.01+SUMIF(BH9:BH104,CONCATENATE("=",AC17),BI9:BI104)</f>
        <v>3</v>
      </c>
      <c r="AQ17" s="162">
        <f>SUMIF(BN9:BN104,CONCATENATE("=",AC17),BO9:BO104)+SUMIF(BJ9:BJ104,CONCATENATE("=",AC17),BK9:BK104)</f>
        <v>2</v>
      </c>
      <c r="AR17" s="161">
        <f>300*AO17+(AP17-AQ17)*10+AP17</f>
        <v>313</v>
      </c>
      <c r="AS17" s="161">
        <f>IF(AR17&gt;0,AR17,0)</f>
        <v>313</v>
      </c>
      <c r="AU17" s="161">
        <f>VLOOKUP(I17,AC9:AN61,12,FALSE)+VLOOKUP(F17,AC9:AN61,12,FALSE)</f>
        <v>1</v>
      </c>
      <c r="AV17" s="161" t="str">
        <f t="shared" si="3"/>
        <v>FC Shakhtar</v>
      </c>
      <c r="AW17" s="161">
        <f t="shared" si="4"/>
        <v>0</v>
      </c>
      <c r="AX17" s="161" t="str">
        <f t="shared" si="5"/>
        <v>FC Shakhtar</v>
      </c>
      <c r="AY17" s="161">
        <f t="shared" si="6"/>
        <v>0</v>
      </c>
      <c r="AZ17" s="161" t="str">
        <f t="shared" si="7"/>
        <v>Real Sociedad</v>
      </c>
      <c r="BA17" s="161">
        <f t="shared" si="8"/>
        <v>0</v>
      </c>
      <c r="BB17" s="161" t="str">
        <f t="shared" si="9"/>
        <v>Real Sociedad</v>
      </c>
      <c r="BC17" s="161">
        <f t="shared" si="10"/>
        <v>0</v>
      </c>
      <c r="BD17" s="161" t="str">
        <f t="shared" si="11"/>
        <v/>
      </c>
      <c r="BE17" s="161" t="str">
        <f t="shared" si="12"/>
        <v/>
      </c>
      <c r="BF17" s="161" t="str">
        <f t="shared" si="13"/>
        <v/>
      </c>
      <c r="BG17" s="161" t="str">
        <f t="shared" si="14"/>
        <v/>
      </c>
      <c r="BH17" s="161" t="str">
        <f t="shared" si="15"/>
        <v/>
      </c>
      <c r="BI17" s="161" t="str">
        <f t="shared" si="16"/>
        <v/>
      </c>
      <c r="BJ17" s="161" t="str">
        <f t="shared" si="17"/>
        <v/>
      </c>
      <c r="BK17" s="161" t="str">
        <f t="shared" si="18"/>
        <v/>
      </c>
      <c r="BL17" s="161" t="str">
        <f t="shared" si="19"/>
        <v/>
      </c>
      <c r="BM17" s="161" t="str">
        <f t="shared" si="20"/>
        <v/>
      </c>
      <c r="BN17" s="161" t="str">
        <f t="shared" si="21"/>
        <v/>
      </c>
      <c r="BO17" s="161" t="str">
        <f t="shared" si="22"/>
        <v/>
      </c>
      <c r="BP17" s="161" t="s">
        <v>26</v>
      </c>
      <c r="BQ17" s="161">
        <v>-3</v>
      </c>
      <c r="BU17" s="161">
        <f t="shared" si="24"/>
        <v>0</v>
      </c>
      <c r="BV17" s="161">
        <f t="shared" si="25"/>
        <v>0</v>
      </c>
      <c r="BW17" s="161">
        <f t="shared" ref="BW17:BX17" si="33">IF(RIGHT(BD29,3)="win",3,IF(RIGHT(BD29,3)="raw",1,IF(RIGHT(BD29,3)="ose",-1,0)))</f>
        <v>0</v>
      </c>
      <c r="BX17" s="161">
        <f t="shared" si="33"/>
        <v>0</v>
      </c>
    </row>
    <row r="18" spans="1:76" ht="16.5" customHeight="1" x14ac:dyDescent="0.2">
      <c r="A18" s="167"/>
      <c r="B18" s="136" t="str">
        <f>INDEX(T,25,langID)</f>
        <v>Nov</v>
      </c>
      <c r="C18" s="137">
        <v>27</v>
      </c>
      <c r="D18" s="137">
        <v>2013</v>
      </c>
      <c r="E18" s="138">
        <v>0.86458333333333337</v>
      </c>
      <c r="F18" s="140" t="str">
        <f>AC11</f>
        <v>Bayer 04 Leverkusen</v>
      </c>
      <c r="G18" s="156"/>
      <c r="H18" s="157"/>
      <c r="I18" s="139" t="str">
        <f>AC10</f>
        <v>Man. United</v>
      </c>
      <c r="J18" s="19"/>
      <c r="K18" s="25" t="str">
        <f>VLOOKUP(2,AB16:AI19,2,FALSE)</f>
        <v>FC København</v>
      </c>
      <c r="L18" s="26">
        <f>VLOOKUP(2,AB16:AI19,3,FALSE)</f>
        <v>1</v>
      </c>
      <c r="M18" s="26">
        <f>VLOOKUP(2,AB16:AI19,4,FALSE)</f>
        <v>1</v>
      </c>
      <c r="N18" s="26">
        <f>VLOOKUP(2,AB16:AI19,5,FALSE)</f>
        <v>2</v>
      </c>
      <c r="O18" s="26" t="str">
        <f>CONCATENATE(VLOOKUP(2,AB16:AI19,6,FALSE)," - ",VLOOKUP(2,AB16:AI19,7,FALSE))</f>
        <v>3 - 8</v>
      </c>
      <c r="P18" s="27">
        <f>VLOOKUP(2,AB16:AI19,8,FALSE)</f>
        <v>4</v>
      </c>
      <c r="Q18" s="19"/>
      <c r="R18" s="136" t="str">
        <f t="shared" si="23"/>
        <v>Nov</v>
      </c>
      <c r="S18" s="137">
        <f t="shared" si="0"/>
        <v>27</v>
      </c>
      <c r="T18" s="137">
        <f t="shared" si="1"/>
        <v>2013</v>
      </c>
      <c r="U18" s="138">
        <f t="shared" si="2"/>
        <v>0.86458333333333337</v>
      </c>
      <c r="V18" s="140" t="str">
        <f>AC18</f>
        <v>Real Madrid</v>
      </c>
      <c r="W18" s="156"/>
      <c r="X18" s="157"/>
      <c r="Y18" s="147" t="str">
        <f>AC17</f>
        <v>Galatasaray</v>
      </c>
      <c r="Z18" s="179"/>
      <c r="AB18" s="160">
        <f>IF(AJ18&gt;AJ16,1,0)+IF(AJ18&gt;AJ17,1,0)+IF(AJ18&gt;AJ18,1,0)+IF(AJ18&gt;AJ19,1,0)+1</f>
        <v>4</v>
      </c>
      <c r="AC18" s="161" t="str">
        <f>INDEX(T,33,langID)</f>
        <v>Real Madrid</v>
      </c>
      <c r="AD18" s="162">
        <f>COUNTIF(BD9:BE104,CONCATENATE(AC18,"_win"))</f>
        <v>3</v>
      </c>
      <c r="AE18" s="162">
        <f>COUNTIF(BD9:BE104,CONCATENATE(AC18,"_draw"))</f>
        <v>1</v>
      </c>
      <c r="AF18" s="162">
        <f>COUNTIF(BD9:BE104,CONCATENATE(AC18,"_lose"))</f>
        <v>0</v>
      </c>
      <c r="AG18" s="162">
        <f>SUMIF(AZ9:AZ104,CONCATENATE("=",AC18),BA9:BA104)+SUMIF(AV9:AV104,CONCATENATE("=",AC18),AW9:AW104)</f>
        <v>14</v>
      </c>
      <c r="AH18" s="162">
        <f>SUMIF(BB9:BB104,CONCATENATE("=",AC18),BC9:BC104)+SUMIF(AX9:AX104,CONCATENATE("=",AC18),AY9:AY104)</f>
        <v>4</v>
      </c>
      <c r="AI18" s="162">
        <f>AD18*3+AE18</f>
        <v>10</v>
      </c>
      <c r="AJ18" s="162">
        <f>0.2+AG18+(AG18-AH18)*100+AD18*1000+AI18*10000000+AS18*10000</f>
        <v>100004014.2</v>
      </c>
      <c r="AK18" s="161">
        <f>IF(COUNTIF(AI16:AI19,CONCATENATE("=",AI18))=1,0,COUNTIF(AI16:AI19,CONCATENATE("=",AI18)))*AI18</f>
        <v>0</v>
      </c>
      <c r="AN18" s="162">
        <f>IF(AI18=AM16,1,0)</f>
        <v>0</v>
      </c>
      <c r="AO18" s="162">
        <f>COUNTIF(BF9:BG104,CONCATENATE(AC18,"_win"))</f>
        <v>0</v>
      </c>
      <c r="AP18" s="162">
        <f>SUMIF(BL9:BL104,CONCATENATE("=",AC18),BM9:BM104)*1.01+SUMIF(BH9:BH104,CONCATENATE("=",AC18),BI9:BI104)</f>
        <v>0</v>
      </c>
      <c r="AQ18" s="162">
        <f>SUMIF(BN9:BN104,CONCATENATE("=",AC18),BO9:BO104)+SUMIF(BJ9:BJ104,CONCATENATE("=",AC18),BK9:BK104)</f>
        <v>0</v>
      </c>
      <c r="AR18" s="161">
        <f>300*AO18+(AP18-AQ18)*10+AP18</f>
        <v>0</v>
      </c>
      <c r="AS18" s="161">
        <f>IF(AR18&gt;0,AR18,0)</f>
        <v>0</v>
      </c>
      <c r="AU18" s="161">
        <f>VLOOKUP(I18,AC9:AN61,12,FALSE)+VLOOKUP(F18,AC9:AN61,12,FALSE)</f>
        <v>0</v>
      </c>
      <c r="AV18" s="161" t="str">
        <f t="shared" si="3"/>
        <v>Bayer 04 Leverkusen</v>
      </c>
      <c r="AW18" s="161">
        <f t="shared" si="4"/>
        <v>0</v>
      </c>
      <c r="AX18" s="161" t="str">
        <f t="shared" si="5"/>
        <v>Bayer 04 Leverkusen</v>
      </c>
      <c r="AY18" s="161">
        <f t="shared" si="6"/>
        <v>0</v>
      </c>
      <c r="AZ18" s="161" t="str">
        <f t="shared" si="7"/>
        <v>Man. United</v>
      </c>
      <c r="BA18" s="161">
        <f t="shared" si="8"/>
        <v>0</v>
      </c>
      <c r="BB18" s="161" t="str">
        <f t="shared" si="9"/>
        <v>Man. United</v>
      </c>
      <c r="BC18" s="161">
        <f t="shared" si="10"/>
        <v>0</v>
      </c>
      <c r="BD18" s="161" t="str">
        <f t="shared" si="11"/>
        <v/>
      </c>
      <c r="BE18" s="161" t="str">
        <f t="shared" si="12"/>
        <v/>
      </c>
      <c r="BF18" s="161" t="str">
        <f t="shared" si="13"/>
        <v/>
      </c>
      <c r="BG18" s="161" t="str">
        <f t="shared" si="14"/>
        <v/>
      </c>
      <c r="BH18" s="161" t="str">
        <f t="shared" si="15"/>
        <v/>
      </c>
      <c r="BI18" s="161" t="str">
        <f t="shared" si="16"/>
        <v/>
      </c>
      <c r="BJ18" s="161" t="str">
        <f t="shared" si="17"/>
        <v/>
      </c>
      <c r="BK18" s="161" t="str">
        <f t="shared" si="18"/>
        <v/>
      </c>
      <c r="BL18" s="161" t="str">
        <f t="shared" si="19"/>
        <v/>
      </c>
      <c r="BM18" s="161" t="str">
        <f t="shared" si="20"/>
        <v/>
      </c>
      <c r="BN18" s="161" t="str">
        <f t="shared" si="21"/>
        <v/>
      </c>
      <c r="BO18" s="161" t="str">
        <f t="shared" si="22"/>
        <v/>
      </c>
      <c r="BP18" s="161" t="s">
        <v>27</v>
      </c>
      <c r="BQ18" s="161">
        <v>-2</v>
      </c>
      <c r="BU18" s="161">
        <f t="shared" si="24"/>
        <v>0</v>
      </c>
      <c r="BV18" s="161">
        <f t="shared" si="25"/>
        <v>0</v>
      </c>
      <c r="BW18" s="161">
        <f t="shared" ref="BW18:BX18" si="34">IF(RIGHT(BD30,3)="win",3,IF(RIGHT(BD30,3)="raw",1,IF(RIGHT(BD30,3)="ose",-1,0)))</f>
        <v>0</v>
      </c>
      <c r="BX18" s="161">
        <f t="shared" si="34"/>
        <v>0</v>
      </c>
    </row>
    <row r="19" spans="1:76" ht="16.5" customHeight="1" x14ac:dyDescent="0.2">
      <c r="A19" s="167"/>
      <c r="B19" s="136" t="str">
        <f>INDEX(T,26,langID)</f>
        <v>Dec</v>
      </c>
      <c r="C19" s="137">
        <v>10</v>
      </c>
      <c r="D19" s="137">
        <v>2013</v>
      </c>
      <c r="E19" s="138">
        <v>0.86458333333333337</v>
      </c>
      <c r="F19" s="140" t="str">
        <f>AC12</f>
        <v>Real Sociedad</v>
      </c>
      <c r="G19" s="156"/>
      <c r="H19" s="157"/>
      <c r="I19" s="139" t="str">
        <f>AC11</f>
        <v>Bayer 04 Leverkusen</v>
      </c>
      <c r="J19" s="19"/>
      <c r="K19" s="31" t="str">
        <f>VLOOKUP(1,AB16:AI19,2,FALSE)</f>
        <v>Juventus</v>
      </c>
      <c r="L19" s="32">
        <f>VLOOKUP(1,AB16:AI19,3,FALSE)</f>
        <v>0</v>
      </c>
      <c r="M19" s="32">
        <f>VLOOKUP(1,AB16:AI19,4,FALSE)</f>
        <v>3</v>
      </c>
      <c r="N19" s="32">
        <f>VLOOKUP(1,AB16:AI19,5,FALSE)</f>
        <v>1</v>
      </c>
      <c r="O19" s="32" t="str">
        <f>CONCATENATE(VLOOKUP(1,AB16:AI19,6,FALSE)," - ",VLOOKUP(1,AB16:AI19,7,FALSE))</f>
        <v>6 - 7</v>
      </c>
      <c r="P19" s="33">
        <f>VLOOKUP(1,AB16:AI19,8,FALSE)</f>
        <v>3</v>
      </c>
      <c r="Q19" s="19"/>
      <c r="R19" s="136" t="str">
        <f t="shared" si="23"/>
        <v>Dec</v>
      </c>
      <c r="S19" s="137">
        <f t="shared" si="0"/>
        <v>10</v>
      </c>
      <c r="T19" s="137">
        <f t="shared" si="1"/>
        <v>2013</v>
      </c>
      <c r="U19" s="138">
        <f t="shared" si="2"/>
        <v>0.86458333333333337</v>
      </c>
      <c r="V19" s="140" t="str">
        <f>AC19</f>
        <v>FC København</v>
      </c>
      <c r="W19" s="156"/>
      <c r="X19" s="157"/>
      <c r="Y19" s="147" t="str">
        <f>AC18</f>
        <v>Real Madrid</v>
      </c>
      <c r="Z19" s="179"/>
      <c r="AB19" s="160">
        <f>IF(AJ19&gt;AJ16,1,0)+IF(AJ19&gt;AJ17,1,0)+IF(AJ19&gt;AJ18,1,0)+IF(AJ19&gt;AJ19,1,0)+1</f>
        <v>2</v>
      </c>
      <c r="AC19" s="161" t="str">
        <f>INDEX(T,34,langID)</f>
        <v>FC København</v>
      </c>
      <c r="AD19" s="162">
        <f>COUNTIF(BD9:BE104,CONCATENATE(AC19,"_win"))</f>
        <v>1</v>
      </c>
      <c r="AE19" s="162">
        <f>COUNTIF(BD9:BE104,CONCATENATE(AC19,"_draw"))</f>
        <v>1</v>
      </c>
      <c r="AF19" s="162">
        <f>COUNTIF(BD9:BE104,CONCATENATE(AC19,"_lose"))</f>
        <v>2</v>
      </c>
      <c r="AG19" s="162">
        <f>SUMIF(AZ9:AZ104,CONCATENATE("=",AC19),BA9:BA104)+SUMIF(AV9:AV104,CONCATENATE("=",AC19),AW9:AW104)</f>
        <v>3</v>
      </c>
      <c r="AH19" s="162">
        <f>SUMIF(BB9:BB104,CONCATENATE("=",AC19),BC9:BC104)+SUMIF(AX9:AX104,CONCATENATE("=",AC19),AY9:AY104)</f>
        <v>8</v>
      </c>
      <c r="AI19" s="162">
        <f>AD19*3+AE19</f>
        <v>4</v>
      </c>
      <c r="AJ19" s="162">
        <f>0.1+AG19+(AG19-AH19)*100+AD19*1000+AI19*10000000+AS19*10000</f>
        <v>42921603.100000001</v>
      </c>
      <c r="AK19" s="161">
        <f>IF(COUNTIF(AI16:AI19,CONCATENATE("=",AI19))=1,0,COUNTIF(AI16:AI19,CONCATENATE("=",AI19)))*AI19</f>
        <v>8</v>
      </c>
      <c r="AN19" s="162">
        <f>IF(AI19=AM16,1,0)</f>
        <v>1</v>
      </c>
      <c r="AO19" s="162">
        <f>COUNTIF(BF9:BG104,CONCATENATE(AC19,"_win"))</f>
        <v>1</v>
      </c>
      <c r="AP19" s="162">
        <f>SUMIF(BL9:BL104,CONCATENATE("=",AC19),BM9:BM104)*1.01+SUMIF(BH9:BH104,CONCATENATE("=",AC19),BI9:BI104)</f>
        <v>2.0099999999999998</v>
      </c>
      <c r="AQ19" s="162">
        <f>SUMIF(BN9:BN104,CONCATENATE("=",AC19),BO9:BO104)+SUMIF(BJ9:BJ104,CONCATENATE("=",AC19),BK9:BK104)</f>
        <v>3</v>
      </c>
      <c r="AR19" s="161">
        <f>300*AO19+(AP19-AQ19)*10+AP19</f>
        <v>292.11</v>
      </c>
      <c r="AS19" s="161">
        <f>IF(AR19&gt;0,AR19,0)</f>
        <v>292.11</v>
      </c>
      <c r="AU19" s="161">
        <f>VLOOKUP(I19,AC9:AN61,12,FALSE)+VLOOKUP(F19,AC9:AN61,12,FALSE)</f>
        <v>0</v>
      </c>
      <c r="AV19" s="161" t="str">
        <f t="shared" si="3"/>
        <v>Real Sociedad</v>
      </c>
      <c r="AW19" s="161">
        <f t="shared" si="4"/>
        <v>0</v>
      </c>
      <c r="AX19" s="161" t="str">
        <f t="shared" si="5"/>
        <v>Real Sociedad</v>
      </c>
      <c r="AY19" s="161">
        <f t="shared" si="6"/>
        <v>0</v>
      </c>
      <c r="AZ19" s="161" t="str">
        <f t="shared" si="7"/>
        <v>Bayer 04 Leverkusen</v>
      </c>
      <c r="BA19" s="161">
        <f t="shared" si="8"/>
        <v>0</v>
      </c>
      <c r="BB19" s="161" t="str">
        <f t="shared" si="9"/>
        <v>Bayer 04 Leverkusen</v>
      </c>
      <c r="BC19" s="161">
        <f t="shared" si="10"/>
        <v>0</v>
      </c>
      <c r="BD19" s="161" t="str">
        <f t="shared" si="11"/>
        <v/>
      </c>
      <c r="BE19" s="161" t="str">
        <f t="shared" si="12"/>
        <v/>
      </c>
      <c r="BF19" s="161" t="str">
        <f t="shared" si="13"/>
        <v/>
      </c>
      <c r="BG19" s="161" t="str">
        <f t="shared" si="14"/>
        <v/>
      </c>
      <c r="BH19" s="161" t="str">
        <f t="shared" si="15"/>
        <v/>
      </c>
      <c r="BI19" s="161" t="str">
        <f t="shared" si="16"/>
        <v/>
      </c>
      <c r="BJ19" s="161" t="str">
        <f t="shared" si="17"/>
        <v/>
      </c>
      <c r="BK19" s="161" t="str">
        <f t="shared" si="18"/>
        <v/>
      </c>
      <c r="BL19" s="161" t="str">
        <f t="shared" si="19"/>
        <v/>
      </c>
      <c r="BM19" s="161" t="str">
        <f t="shared" si="20"/>
        <v/>
      </c>
      <c r="BN19" s="161" t="str">
        <f t="shared" si="21"/>
        <v/>
      </c>
      <c r="BO19" s="161" t="str">
        <f t="shared" si="22"/>
        <v/>
      </c>
      <c r="BP19" s="161" t="s">
        <v>28</v>
      </c>
      <c r="BQ19" s="161">
        <v>-1</v>
      </c>
      <c r="BU19" s="161">
        <f t="shared" si="24"/>
        <v>0</v>
      </c>
      <c r="BV19" s="161">
        <f t="shared" si="25"/>
        <v>0</v>
      </c>
      <c r="BW19" s="161">
        <f t="shared" ref="BW19:BX19" si="35">IF(RIGHT(BD31,3)="win",3,IF(RIGHT(BD31,3)="raw",1,IF(RIGHT(BD31,3)="ose",-1,0)))</f>
        <v>0</v>
      </c>
      <c r="BX19" s="161">
        <f t="shared" si="35"/>
        <v>0</v>
      </c>
    </row>
    <row r="20" spans="1:76" ht="16.5" customHeight="1" x14ac:dyDescent="0.2">
      <c r="A20" s="168"/>
      <c r="B20" s="149" t="str">
        <f>INDEX(T,26,langID)</f>
        <v>Dec</v>
      </c>
      <c r="C20" s="150">
        <v>10</v>
      </c>
      <c r="D20" s="150">
        <v>2013</v>
      </c>
      <c r="E20" s="151">
        <v>0.86458333333333337</v>
      </c>
      <c r="F20" s="142" t="str">
        <f>AC10</f>
        <v>Man. United</v>
      </c>
      <c r="G20" s="158"/>
      <c r="H20" s="159"/>
      <c r="I20" s="145" t="str">
        <f>AC9</f>
        <v>FC Shakhtar</v>
      </c>
      <c r="J20" s="19"/>
      <c r="K20" s="19"/>
      <c r="L20" s="34"/>
      <c r="M20" s="34"/>
      <c r="N20" s="34"/>
      <c r="O20" s="34"/>
      <c r="P20" s="34"/>
      <c r="Q20" s="19"/>
      <c r="R20" s="149" t="str">
        <f t="shared" si="23"/>
        <v>Dec</v>
      </c>
      <c r="S20" s="150">
        <f t="shared" si="0"/>
        <v>10</v>
      </c>
      <c r="T20" s="150">
        <f t="shared" si="1"/>
        <v>2013</v>
      </c>
      <c r="U20" s="151">
        <f t="shared" si="2"/>
        <v>0.86458333333333337</v>
      </c>
      <c r="V20" s="142" t="str">
        <f>AC17</f>
        <v>Galatasaray</v>
      </c>
      <c r="W20" s="158"/>
      <c r="X20" s="159"/>
      <c r="Y20" s="148" t="str">
        <f>AC16</f>
        <v>Juventus</v>
      </c>
      <c r="Z20" s="180"/>
      <c r="AK20" s="161">
        <f>MAX(AK16:AK19)</f>
        <v>8</v>
      </c>
      <c r="AU20" s="161">
        <f>VLOOKUP(I20,AC9:AN61,12,FALSE)+VLOOKUP(F20,AC9:AN61,12,FALSE)</f>
        <v>1</v>
      </c>
      <c r="AV20" s="161" t="str">
        <f t="shared" si="3"/>
        <v>Man. United</v>
      </c>
      <c r="AW20" s="161">
        <f t="shared" si="4"/>
        <v>0</v>
      </c>
      <c r="AX20" s="161" t="str">
        <f t="shared" si="5"/>
        <v>Man. United</v>
      </c>
      <c r="AY20" s="161">
        <f t="shared" si="6"/>
        <v>0</v>
      </c>
      <c r="AZ20" s="161" t="str">
        <f t="shared" si="7"/>
        <v>FC Shakhtar</v>
      </c>
      <c r="BA20" s="161">
        <f t="shared" si="8"/>
        <v>0</v>
      </c>
      <c r="BB20" s="161" t="str">
        <f t="shared" si="9"/>
        <v>FC Shakhtar</v>
      </c>
      <c r="BC20" s="161">
        <f t="shared" si="10"/>
        <v>0</v>
      </c>
      <c r="BD20" s="161" t="str">
        <f t="shared" si="11"/>
        <v/>
      </c>
      <c r="BE20" s="161" t="str">
        <f t="shared" si="12"/>
        <v/>
      </c>
      <c r="BF20" s="161" t="str">
        <f t="shared" si="13"/>
        <v/>
      </c>
      <c r="BG20" s="161" t="str">
        <f t="shared" si="14"/>
        <v/>
      </c>
      <c r="BH20" s="161" t="str">
        <f t="shared" si="15"/>
        <v/>
      </c>
      <c r="BI20" s="161" t="str">
        <f t="shared" si="16"/>
        <v/>
      </c>
      <c r="BJ20" s="161" t="str">
        <f t="shared" si="17"/>
        <v/>
      </c>
      <c r="BK20" s="161" t="str">
        <f t="shared" si="18"/>
        <v/>
      </c>
      <c r="BL20" s="161" t="str">
        <f t="shared" si="19"/>
        <v/>
      </c>
      <c r="BM20" s="161" t="str">
        <f t="shared" si="20"/>
        <v/>
      </c>
      <c r="BN20" s="161" t="str">
        <f t="shared" si="21"/>
        <v/>
      </c>
      <c r="BO20" s="161" t="str">
        <f t="shared" si="22"/>
        <v/>
      </c>
      <c r="BP20" s="161" t="s">
        <v>29</v>
      </c>
      <c r="BQ20" s="161">
        <v>0</v>
      </c>
      <c r="BU20" s="161">
        <f t="shared" si="24"/>
        <v>0</v>
      </c>
      <c r="BV20" s="161">
        <f t="shared" si="25"/>
        <v>0</v>
      </c>
      <c r="BW20" s="161">
        <f t="shared" ref="BW20:BX20" si="36">IF(RIGHT(BD32,3)="win",3,IF(RIGHT(BD32,3)="raw",1,IF(RIGHT(BD32,3)="ose",-1,0)))</f>
        <v>0</v>
      </c>
      <c r="BX20" s="161">
        <f t="shared" si="36"/>
        <v>0</v>
      </c>
    </row>
    <row r="21" spans="1:76" ht="16.5" customHeight="1" x14ac:dyDescent="0.2">
      <c r="A21" s="166" t="str">
        <f>INDEX(T,4,langID) &amp; " C"</f>
        <v>Group C</v>
      </c>
      <c r="B21" s="133" t="str">
        <f>INDEX(T,23,langID)</f>
        <v>Sep</v>
      </c>
      <c r="C21" s="134">
        <v>17</v>
      </c>
      <c r="D21" s="134">
        <v>2013</v>
      </c>
      <c r="E21" s="135">
        <v>0.86458333333333337</v>
      </c>
      <c r="F21" s="141" t="str">
        <f>AC26</f>
        <v>Olympiacos</v>
      </c>
      <c r="G21" s="154">
        <v>1</v>
      </c>
      <c r="H21" s="155">
        <v>4</v>
      </c>
      <c r="I21" s="144" t="str">
        <f>AC23</f>
        <v>PSG</v>
      </c>
      <c r="J21" s="19"/>
      <c r="K21" s="173" t="str">
        <f>INDEX(T,4,langID) &amp; " C"</f>
        <v>Group C</v>
      </c>
      <c r="L21" s="175" t="str">
        <f>INDEX(T,7,langID)</f>
        <v>Win</v>
      </c>
      <c r="M21" s="175" t="str">
        <f>INDEX(T,8,langID)</f>
        <v>Draw</v>
      </c>
      <c r="N21" s="175" t="str">
        <f>INDEX(T,9,langID)</f>
        <v>Lose</v>
      </c>
      <c r="O21" s="175" t="str">
        <f>INDEX(T,10,langID)</f>
        <v>F - A</v>
      </c>
      <c r="P21" s="189" t="str">
        <f>INDEX(T,11,langID)</f>
        <v>Pts</v>
      </c>
      <c r="Q21" s="19"/>
      <c r="R21" s="133" t="str">
        <f t="shared" si="23"/>
        <v>Sep</v>
      </c>
      <c r="S21" s="134">
        <f t="shared" si="0"/>
        <v>17</v>
      </c>
      <c r="T21" s="134">
        <f t="shared" si="1"/>
        <v>2013</v>
      </c>
      <c r="U21" s="135">
        <f t="shared" si="2"/>
        <v>0.86458333333333337</v>
      </c>
      <c r="V21" s="141" t="str">
        <f>AC33</f>
        <v>Viktoria Plzeň</v>
      </c>
      <c r="W21" s="154">
        <v>0</v>
      </c>
      <c r="X21" s="155">
        <v>3</v>
      </c>
      <c r="Y21" s="146" t="str">
        <f>AC30</f>
        <v>Manchester City</v>
      </c>
      <c r="Z21" s="178" t="str">
        <f>INDEX(T,4,langID) &amp; " D"</f>
        <v>Group D</v>
      </c>
      <c r="AU21" s="161">
        <f>VLOOKUP(Y9,AC9:AN61,12,FALSE)+VLOOKUP(V9,AC9:AN61,12,FALSE)</f>
        <v>1</v>
      </c>
      <c r="AV21" s="161" t="str">
        <f t="shared" ref="AV21:AV32" si="37">V9</f>
        <v>FC København</v>
      </c>
      <c r="AW21" s="161">
        <f t="shared" ref="AW21:AW32" si="38">W9</f>
        <v>1</v>
      </c>
      <c r="AX21" s="161" t="str">
        <f t="shared" ref="AX21:AX32" si="39">V9</f>
        <v>FC København</v>
      </c>
      <c r="AY21" s="161">
        <f t="shared" ref="AY21:AY32" si="40">X9</f>
        <v>1</v>
      </c>
      <c r="AZ21" s="161" t="str">
        <f t="shared" ref="AZ21:AZ32" si="41">Y9</f>
        <v>Juventus</v>
      </c>
      <c r="BA21" s="161">
        <f t="shared" ref="BA21:BA32" si="42">X9</f>
        <v>1</v>
      </c>
      <c r="BB21" s="161" t="str">
        <f t="shared" ref="BB21:BB32" si="43">Y9</f>
        <v>Juventus</v>
      </c>
      <c r="BC21" s="161">
        <f t="shared" ref="BC21:BC32" si="44">W9</f>
        <v>1</v>
      </c>
      <c r="BD21" s="161" t="str">
        <f t="shared" ref="BD21:BD32" si="45">IF(W9="","",IF(X9="","",IF(W9&gt;X9,CONCATENATE(V9,"_win"),IF(W9&lt;X9,CONCATENATE(V9,"_lose"),CONCATENATE(V9,"_draw")))))</f>
        <v>FC København_draw</v>
      </c>
      <c r="BE21" s="161" t="str">
        <f t="shared" ref="BE21:BE32" si="46">IF(W9="","",IF(X9="","",IF(W9&gt;X9,CONCATENATE(Y9,"_lose"),IF(W9&lt;X9,CONCATENATE(Y9,"_win"),CONCATENATE(Y9,"_draw")))))</f>
        <v>Juventus_draw</v>
      </c>
      <c r="BF21" s="161" t="str">
        <f t="shared" ref="BF21:BF32" si="47">IF(AU21=2,IF(W9="","",IF(X9="","",IF(W9&gt;X9,CONCATENATE(V9,"_win"),IF(W9&lt;X9,CONCATENATE(V9,"_lose"),CONCATENATE(V9,"_draw"))))),"")</f>
        <v/>
      </c>
      <c r="BG21" s="161" t="str">
        <f t="shared" ref="BG21:BG32" si="48">IF(AU21=2,IF(W9="","",IF(X9="","",IF(W9&gt;X9,CONCATENATE(Y9,"_lose"),IF(W9&lt;X9,CONCATENATE(Y9,"_win"),CONCATENATE(Y9,"_draw"))))),"")</f>
        <v/>
      </c>
      <c r="BH21" s="161" t="str">
        <f t="shared" si="15"/>
        <v/>
      </c>
      <c r="BI21" s="161" t="str">
        <f t="shared" si="16"/>
        <v/>
      </c>
      <c r="BJ21" s="161" t="str">
        <f t="shared" si="17"/>
        <v/>
      </c>
      <c r="BK21" s="161" t="str">
        <f t="shared" si="18"/>
        <v/>
      </c>
      <c r="BL21" s="161" t="str">
        <f t="shared" si="19"/>
        <v/>
      </c>
      <c r="BM21" s="161" t="str">
        <f t="shared" si="20"/>
        <v/>
      </c>
      <c r="BN21" s="161" t="str">
        <f t="shared" si="21"/>
        <v/>
      </c>
      <c r="BO21" s="161" t="str">
        <f t="shared" si="22"/>
        <v/>
      </c>
      <c r="BP21" s="161" t="s">
        <v>30</v>
      </c>
      <c r="BQ21" s="161">
        <v>1</v>
      </c>
      <c r="BU21" s="161">
        <f>IF(RIGHT(BD33,3)="win",3,IF(RIGHT(BD33,3)="raw",1,IF(RIGHT(BD33,3)="ose",-1,0)))</f>
        <v>-1</v>
      </c>
      <c r="BV21" s="161">
        <f>IF(RIGHT(BE33,3)="win",3,IF(RIGHT(BE33,3)="raw",1,IF(RIGHT(BE33,3)="ose",-1,0)))</f>
        <v>3</v>
      </c>
      <c r="BW21" s="161">
        <f>IF(RIGHT(BD45,3)="win",3,IF(RIGHT(BD45,3)="raw",1,IF(RIGHT(BD45,3)="ose",-1,0)))</f>
        <v>-1</v>
      </c>
      <c r="BX21" s="161">
        <f>IF(RIGHT(BE45,3)="win",3,IF(RIGHT(BE45,3)="raw",1,IF(RIGHT(BE45,3)="ose",-1,0)))</f>
        <v>3</v>
      </c>
    </row>
    <row r="22" spans="1:76" ht="16.5" customHeight="1" x14ac:dyDescent="0.2">
      <c r="A22" s="167"/>
      <c r="B22" s="136" t="str">
        <f>INDEX(T,23,langID)</f>
        <v>Sep</v>
      </c>
      <c r="C22" s="137">
        <v>17</v>
      </c>
      <c r="D22" s="137">
        <v>2013</v>
      </c>
      <c r="E22" s="138">
        <v>0.86458333333333337</v>
      </c>
      <c r="F22" s="140" t="str">
        <f>AC24</f>
        <v>Benfica</v>
      </c>
      <c r="G22" s="156">
        <v>2</v>
      </c>
      <c r="H22" s="157">
        <v>0</v>
      </c>
      <c r="I22" s="139" t="str">
        <f>AC25</f>
        <v>Anderlecht</v>
      </c>
      <c r="J22" s="19"/>
      <c r="K22" s="174"/>
      <c r="L22" s="176"/>
      <c r="M22" s="176"/>
      <c r="N22" s="176"/>
      <c r="O22" s="176"/>
      <c r="P22" s="190"/>
      <c r="Q22" s="19"/>
      <c r="R22" s="136" t="str">
        <f t="shared" si="23"/>
        <v>Sep</v>
      </c>
      <c r="S22" s="137">
        <f t="shared" si="0"/>
        <v>17</v>
      </c>
      <c r="T22" s="137">
        <f t="shared" si="1"/>
        <v>2013</v>
      </c>
      <c r="U22" s="138">
        <f t="shared" si="2"/>
        <v>0.86458333333333337</v>
      </c>
      <c r="V22" s="140" t="str">
        <f>AC31</f>
        <v>Bayern München</v>
      </c>
      <c r="W22" s="156">
        <v>3</v>
      </c>
      <c r="X22" s="157">
        <v>0</v>
      </c>
      <c r="Y22" s="147" t="str">
        <f>AC32</f>
        <v>CSKA Moskva</v>
      </c>
      <c r="Z22" s="179"/>
      <c r="AU22" s="161">
        <f>VLOOKUP(Y10,AC9:AN61,12,FALSE)+VLOOKUP(V10,AC9:AN61,12,FALSE)</f>
        <v>1</v>
      </c>
      <c r="AV22" s="161" t="str">
        <f t="shared" si="37"/>
        <v>Galatasaray</v>
      </c>
      <c r="AW22" s="161">
        <f t="shared" si="38"/>
        <v>1</v>
      </c>
      <c r="AX22" s="161" t="str">
        <f t="shared" si="39"/>
        <v>Galatasaray</v>
      </c>
      <c r="AY22" s="161">
        <f t="shared" si="40"/>
        <v>6</v>
      </c>
      <c r="AZ22" s="161" t="str">
        <f t="shared" si="41"/>
        <v>Real Madrid</v>
      </c>
      <c r="BA22" s="161">
        <f t="shared" si="42"/>
        <v>6</v>
      </c>
      <c r="BB22" s="161" t="str">
        <f t="shared" si="43"/>
        <v>Real Madrid</v>
      </c>
      <c r="BC22" s="161">
        <f t="shared" si="44"/>
        <v>1</v>
      </c>
      <c r="BD22" s="161" t="str">
        <f t="shared" si="45"/>
        <v>Galatasaray_lose</v>
      </c>
      <c r="BE22" s="161" t="str">
        <f t="shared" si="46"/>
        <v>Real Madrid_win</v>
      </c>
      <c r="BF22" s="161" t="str">
        <f t="shared" si="47"/>
        <v/>
      </c>
      <c r="BG22" s="161" t="str">
        <f t="shared" si="48"/>
        <v/>
      </c>
      <c r="BH22" s="161" t="str">
        <f t="shared" si="15"/>
        <v/>
      </c>
      <c r="BI22" s="161" t="str">
        <f t="shared" si="16"/>
        <v/>
      </c>
      <c r="BJ22" s="161" t="str">
        <f t="shared" si="17"/>
        <v/>
      </c>
      <c r="BK22" s="161" t="str">
        <f t="shared" si="18"/>
        <v/>
      </c>
      <c r="BL22" s="161" t="str">
        <f t="shared" si="19"/>
        <v/>
      </c>
      <c r="BM22" s="161" t="str">
        <f t="shared" si="20"/>
        <v/>
      </c>
      <c r="BN22" s="161" t="str">
        <f t="shared" si="21"/>
        <v/>
      </c>
      <c r="BO22" s="161" t="str">
        <f t="shared" si="22"/>
        <v/>
      </c>
      <c r="BP22" s="161" t="s">
        <v>17</v>
      </c>
      <c r="BQ22" s="161">
        <v>2</v>
      </c>
      <c r="BU22" s="161">
        <f t="shared" ref="BU22:BV22" si="49">IF(RIGHT(BD34,3)="win",3,IF(RIGHT(BD34,3)="raw",1,IF(RIGHT(BD34,3)="ose",-1,0)))</f>
        <v>3</v>
      </c>
      <c r="BV22" s="161">
        <f t="shared" si="49"/>
        <v>-1</v>
      </c>
      <c r="BW22" s="161">
        <f t="shared" ref="BW22:BX22" si="50">IF(RIGHT(BD46,3)="win",3,IF(RIGHT(BD46,3)="raw",1,IF(RIGHT(BD46,3)="ose",-1,0)))</f>
        <v>3</v>
      </c>
      <c r="BX22" s="161">
        <f t="shared" si="50"/>
        <v>-1</v>
      </c>
    </row>
    <row r="23" spans="1:76" ht="16.5" customHeight="1" x14ac:dyDescent="0.2">
      <c r="A23" s="167"/>
      <c r="B23" s="136" t="str">
        <f>INDEX(T,24,langID)</f>
        <v>Oct</v>
      </c>
      <c r="C23" s="137">
        <v>2</v>
      </c>
      <c r="D23" s="137">
        <v>2013</v>
      </c>
      <c r="E23" s="138">
        <v>0.86458333333333337</v>
      </c>
      <c r="F23" s="140" t="str">
        <f>AC25</f>
        <v>Anderlecht</v>
      </c>
      <c r="G23" s="156">
        <v>0</v>
      </c>
      <c r="H23" s="157">
        <v>3</v>
      </c>
      <c r="I23" s="139" t="str">
        <f>AC26</f>
        <v>Olympiacos</v>
      </c>
      <c r="J23" s="19"/>
      <c r="K23" s="22" t="str">
        <f>VLOOKUP(4,AB23:AI26,2,FALSE)</f>
        <v>PSG</v>
      </c>
      <c r="L23" s="23">
        <f>VLOOKUP(4,AB23:AI26,3,FALSE)</f>
        <v>3</v>
      </c>
      <c r="M23" s="23">
        <f>VLOOKUP(4,AB23:AI26,4,FALSE)</f>
        <v>1</v>
      </c>
      <c r="N23" s="23">
        <f>VLOOKUP(4,AB23:AI26,5,FALSE)</f>
        <v>0</v>
      </c>
      <c r="O23" s="23" t="str">
        <f>CONCATENATE(VLOOKUP(4,AB23:AI26,6,FALSE)," - ",VLOOKUP(4,AB23:AI26,7,FALSE))</f>
        <v>13 - 2</v>
      </c>
      <c r="P23" s="24">
        <f>VLOOKUP(4,AB23:AI26,8,FALSE)</f>
        <v>10</v>
      </c>
      <c r="Q23" s="19"/>
      <c r="R23" s="136" t="str">
        <f t="shared" si="23"/>
        <v>Oct</v>
      </c>
      <c r="S23" s="137">
        <f t="shared" si="0"/>
        <v>2</v>
      </c>
      <c r="T23" s="137">
        <f t="shared" si="1"/>
        <v>2013</v>
      </c>
      <c r="U23" s="138">
        <v>0.75</v>
      </c>
      <c r="V23" s="140" t="str">
        <f>AC32</f>
        <v>CSKA Moskva</v>
      </c>
      <c r="W23" s="156">
        <v>3</v>
      </c>
      <c r="X23" s="157">
        <v>2</v>
      </c>
      <c r="Y23" s="147" t="str">
        <f>AC33</f>
        <v>Viktoria Plzeň</v>
      </c>
      <c r="Z23" s="179"/>
      <c r="AB23" s="160">
        <f>IF(AJ23&gt;AJ23,1,0)+IF(AJ23&gt;AJ24,1,0)+IF(AJ23&gt;AJ25,1,0)+IF(AJ23&gt;AJ26,1,0)+1</f>
        <v>4</v>
      </c>
      <c r="AC23" s="161" t="str">
        <f>INDEX(T,35,langID)</f>
        <v>PSG</v>
      </c>
      <c r="AD23" s="162">
        <f>COUNTIF(BD9:BE104,CONCATENATE(AC23,"_win"))</f>
        <v>3</v>
      </c>
      <c r="AE23" s="162">
        <f>COUNTIF(BD9:BE104,CONCATENATE(AC23,"_draw"))</f>
        <v>1</v>
      </c>
      <c r="AF23" s="162">
        <f>COUNTIF(BD9:BE104,CONCATENATE(AC23,"_lose"))</f>
        <v>0</v>
      </c>
      <c r="AG23" s="162">
        <f>SUMIF(AZ9:AZ104,CONCATENATE("=",AC23),BA9:BA104)+SUMIF(AV9:AV104,CONCATENATE("=",AC23),AW9:AW104)</f>
        <v>13</v>
      </c>
      <c r="AH23" s="162">
        <f>SUMIF(BB9:BB104,CONCATENATE("=",AC23),BC9:BC104)+SUMIF(AX9:AX104,CONCATENATE("=",AC23),AY9:AY104)</f>
        <v>2</v>
      </c>
      <c r="AI23" s="162">
        <f>AD23*3+AE23</f>
        <v>10</v>
      </c>
      <c r="AJ23" s="162">
        <f>0.4+AG23+(AG23-AH23)*100+AD23*1000+AI23*10000000+AS23*10000</f>
        <v>100004113.40000001</v>
      </c>
      <c r="AK23" s="161">
        <f>IF(COUNTIF(AI23:AI26,CONCATENATE("=",AI23))=1,0,COUNTIF(AI23:AI26,CONCATENATE("=",AI23)))*AI23</f>
        <v>0</v>
      </c>
      <c r="AM23" s="162">
        <f>IF(AK23=AK27,AI23,IF(AK24=AK27,AI24,IF(AK25=AK27,AI25,AI26)))</f>
        <v>10</v>
      </c>
      <c r="AN23" s="162">
        <f>IF(AI23=AM23,1,0)</f>
        <v>1</v>
      </c>
      <c r="AO23" s="162">
        <f>COUNTIF(BF9:BG104,CONCATENATE(AC23,"_win"))</f>
        <v>0</v>
      </c>
      <c r="AP23" s="162">
        <f>SUMIF(BL9:BL104,CONCATENATE("=",AC23),BM9:BM104)*1.01+SUMIF(BH9:BH104,CONCATENATE("=",AC23),BI9:BI104)</f>
        <v>0</v>
      </c>
      <c r="AQ23" s="162">
        <f>SUMIF(BN9:BN104,CONCATENATE("=",AC23),BO9:BO104)+SUMIF(BJ9:BJ104,CONCATENATE("=",AC23),BK9:BK104)</f>
        <v>0</v>
      </c>
      <c r="AR23" s="161">
        <f>300*AO23+(AP23-AQ23)*10+AP23</f>
        <v>0</v>
      </c>
      <c r="AS23" s="161">
        <f>IF(AR23&gt;0,AR23,0)</f>
        <v>0</v>
      </c>
      <c r="AU23" s="161">
        <f>VLOOKUP(Y11,AC9:AN61,12,FALSE)+VLOOKUP(V11,AC9:AN61,12,FALSE)</f>
        <v>1</v>
      </c>
      <c r="AV23" s="161" t="str">
        <f t="shared" si="37"/>
        <v>Real Madrid</v>
      </c>
      <c r="AW23" s="161">
        <f t="shared" si="38"/>
        <v>4</v>
      </c>
      <c r="AX23" s="161" t="str">
        <f t="shared" si="39"/>
        <v>Real Madrid</v>
      </c>
      <c r="AY23" s="161">
        <f t="shared" si="40"/>
        <v>0</v>
      </c>
      <c r="AZ23" s="161" t="str">
        <f t="shared" si="41"/>
        <v>FC København</v>
      </c>
      <c r="BA23" s="161">
        <f t="shared" si="42"/>
        <v>0</v>
      </c>
      <c r="BB23" s="161" t="str">
        <f t="shared" si="43"/>
        <v>FC København</v>
      </c>
      <c r="BC23" s="161">
        <f t="shared" si="44"/>
        <v>4</v>
      </c>
      <c r="BD23" s="161" t="str">
        <f t="shared" si="45"/>
        <v>Real Madrid_win</v>
      </c>
      <c r="BE23" s="161" t="str">
        <f t="shared" si="46"/>
        <v>FC København_lose</v>
      </c>
      <c r="BF23" s="161" t="str">
        <f t="shared" si="47"/>
        <v/>
      </c>
      <c r="BG23" s="161" t="str">
        <f t="shared" si="48"/>
        <v/>
      </c>
      <c r="BH23" s="161" t="str">
        <f t="shared" si="15"/>
        <v/>
      </c>
      <c r="BI23" s="161" t="str">
        <f t="shared" si="16"/>
        <v/>
      </c>
      <c r="BJ23" s="161" t="str">
        <f t="shared" si="17"/>
        <v/>
      </c>
      <c r="BK23" s="161" t="str">
        <f t="shared" si="18"/>
        <v/>
      </c>
      <c r="BL23" s="161" t="str">
        <f t="shared" si="19"/>
        <v/>
      </c>
      <c r="BM23" s="161" t="str">
        <f t="shared" si="20"/>
        <v/>
      </c>
      <c r="BN23" s="161" t="str">
        <f t="shared" si="21"/>
        <v/>
      </c>
      <c r="BO23" s="161" t="str">
        <f t="shared" si="22"/>
        <v/>
      </c>
      <c r="BP23" s="161" t="s">
        <v>31</v>
      </c>
      <c r="BQ23" s="161">
        <v>3</v>
      </c>
      <c r="BU23" s="161">
        <f t="shared" ref="BU23:BV23" si="51">IF(RIGHT(BD35,3)="win",3,IF(RIGHT(BD35,3)="raw",1,IF(RIGHT(BD35,3)="ose",-1,0)))</f>
        <v>-1</v>
      </c>
      <c r="BV23" s="161">
        <f t="shared" si="51"/>
        <v>3</v>
      </c>
      <c r="BW23" s="161">
        <f t="shared" ref="BW23:BX23" si="52">IF(RIGHT(BD47,3)="win",3,IF(RIGHT(BD47,3)="raw",1,IF(RIGHT(BD47,3)="ose",-1,0)))</f>
        <v>3</v>
      </c>
      <c r="BX23" s="161">
        <f t="shared" si="52"/>
        <v>-1</v>
      </c>
    </row>
    <row r="24" spans="1:76" ht="16.5" customHeight="1" x14ac:dyDescent="0.2">
      <c r="A24" s="167"/>
      <c r="B24" s="136" t="str">
        <f>INDEX(T,24,langID)</f>
        <v>Oct</v>
      </c>
      <c r="C24" s="137">
        <v>2</v>
      </c>
      <c r="D24" s="137">
        <v>2013</v>
      </c>
      <c r="E24" s="138">
        <v>0.86458333333333337</v>
      </c>
      <c r="F24" s="140" t="str">
        <f>AC23</f>
        <v>PSG</v>
      </c>
      <c r="G24" s="156">
        <v>3</v>
      </c>
      <c r="H24" s="157">
        <v>0</v>
      </c>
      <c r="I24" s="139" t="str">
        <f>AC24</f>
        <v>Benfica</v>
      </c>
      <c r="J24" s="19"/>
      <c r="K24" s="25" t="str">
        <f>VLOOKUP(3,AB23:AI26,2,FALSE)</f>
        <v>Olympiacos</v>
      </c>
      <c r="L24" s="26">
        <f>VLOOKUP(3,AB23:AI26,3,FALSE)</f>
        <v>2</v>
      </c>
      <c r="M24" s="26">
        <f>VLOOKUP(3,AB23:AI26,4,FALSE)</f>
        <v>1</v>
      </c>
      <c r="N24" s="26">
        <f>VLOOKUP(3,AB23:AI26,5,FALSE)</f>
        <v>1</v>
      </c>
      <c r="O24" s="26" t="str">
        <f>CONCATENATE(VLOOKUP(3,AB23:AI26,6,FALSE)," - ",VLOOKUP(3,AB23:AI26,7,FALSE))</f>
        <v>6 - 5</v>
      </c>
      <c r="P24" s="27">
        <f>VLOOKUP(3,AB23:AI26,8,FALSE)</f>
        <v>7</v>
      </c>
      <c r="Q24" s="19"/>
      <c r="R24" s="136" t="str">
        <f t="shared" si="23"/>
        <v>Oct</v>
      </c>
      <c r="S24" s="137">
        <f t="shared" si="0"/>
        <v>2</v>
      </c>
      <c r="T24" s="137">
        <f t="shared" si="1"/>
        <v>2013</v>
      </c>
      <c r="U24" s="138">
        <f t="shared" si="2"/>
        <v>0.86458333333333337</v>
      </c>
      <c r="V24" s="140" t="str">
        <f>AC30</f>
        <v>Manchester City</v>
      </c>
      <c r="W24" s="156">
        <v>1</v>
      </c>
      <c r="X24" s="157">
        <v>3</v>
      </c>
      <c r="Y24" s="147" t="str">
        <f>AC31</f>
        <v>Bayern München</v>
      </c>
      <c r="Z24" s="179"/>
      <c r="AB24" s="160">
        <f>IF(AJ24&gt;AJ23,1,0)+IF(AJ24&gt;AJ24,1,0)+IF(AJ24&gt;AJ25,1,0)+IF(AJ24&gt;AJ26,1,0)+1</f>
        <v>2</v>
      </c>
      <c r="AC24" s="161" t="str">
        <f>INDEX(T,36,langID)</f>
        <v>Benfica</v>
      </c>
      <c r="AD24" s="162">
        <f>COUNTIF(BD9:BE104,CONCATENATE(AC24,"_win"))</f>
        <v>1</v>
      </c>
      <c r="AE24" s="162">
        <f>COUNTIF(BD9:BE104,CONCATENATE(AC24,"_draw"))</f>
        <v>1</v>
      </c>
      <c r="AF24" s="162">
        <f>COUNTIF(BD9:BE104,CONCATENATE(AC24,"_lose"))</f>
        <v>2</v>
      </c>
      <c r="AG24" s="162">
        <f>SUMIF(AZ9:AZ104,CONCATENATE("=",AC24),BA9:BA104)+SUMIF(AV9:AV104,CONCATENATE("=",AC24),AW9:AW104)</f>
        <v>3</v>
      </c>
      <c r="AH24" s="162">
        <f>SUMIF(BB9:BB104,CONCATENATE("=",AC24),BC9:BC104)+SUMIF(AX9:AX104,CONCATENATE("=",AC24),AY9:AY104)</f>
        <v>5</v>
      </c>
      <c r="AI24" s="162">
        <f>AD24*3+AE24</f>
        <v>4</v>
      </c>
      <c r="AJ24" s="162">
        <f>0.3+AG24+(AG24-AH24)*100+AD24*1000+AI24*10000000+AS24*10000</f>
        <v>40000803.299999997</v>
      </c>
      <c r="AK24" s="161">
        <f>IF(COUNTIF(AI23:AI26,CONCATENATE("=",AI24))=1,0,COUNTIF(AI23:AI26,CONCATENATE("=",AI24)))*AI24</f>
        <v>0</v>
      </c>
      <c r="AN24" s="162">
        <f>IF(AI24=AM23,1,0)</f>
        <v>0</v>
      </c>
      <c r="AO24" s="162">
        <f>COUNTIF(BF9:BG104,CONCATENATE(AC24,"_win"))</f>
        <v>0</v>
      </c>
      <c r="AP24" s="162">
        <f>SUMIF(BL9:BL104,CONCATENATE("=",AC24),BM9:BM104)*1.01+SUMIF(BH9:BH104,CONCATENATE("=",AC24),BI9:BI104)</f>
        <v>0</v>
      </c>
      <c r="AQ24" s="162">
        <f>SUMIF(BN9:BN104,CONCATENATE("=",AC24),BO9:BO104)+SUMIF(BJ9:BJ104,CONCATENATE("=",AC24),BK9:BK104)</f>
        <v>0</v>
      </c>
      <c r="AR24" s="161">
        <f>300*AO24+(AP24-AQ24)*10+AP24</f>
        <v>0</v>
      </c>
      <c r="AS24" s="161">
        <f>IF(AR24&gt;0,AR24,0)</f>
        <v>0</v>
      </c>
      <c r="AU24" s="161">
        <f>VLOOKUP(Y12,AC9:AN61,12,FALSE)+VLOOKUP(V12,AC9:AN61,12,FALSE)</f>
        <v>1</v>
      </c>
      <c r="AV24" s="161" t="str">
        <f t="shared" si="37"/>
        <v>Juventus</v>
      </c>
      <c r="AW24" s="161">
        <f t="shared" si="38"/>
        <v>2</v>
      </c>
      <c r="AX24" s="161" t="str">
        <f t="shared" si="39"/>
        <v>Juventus</v>
      </c>
      <c r="AY24" s="161">
        <f t="shared" si="40"/>
        <v>2</v>
      </c>
      <c r="AZ24" s="161" t="str">
        <f t="shared" si="41"/>
        <v>Galatasaray</v>
      </c>
      <c r="BA24" s="161">
        <f t="shared" si="42"/>
        <v>2</v>
      </c>
      <c r="BB24" s="161" t="str">
        <f t="shared" si="43"/>
        <v>Galatasaray</v>
      </c>
      <c r="BC24" s="161">
        <f t="shared" si="44"/>
        <v>2</v>
      </c>
      <c r="BD24" s="161" t="str">
        <f t="shared" si="45"/>
        <v>Juventus_draw</v>
      </c>
      <c r="BE24" s="161" t="str">
        <f t="shared" si="46"/>
        <v>Galatasaray_draw</v>
      </c>
      <c r="BF24" s="161" t="str">
        <f t="shared" si="47"/>
        <v/>
      </c>
      <c r="BG24" s="161" t="str">
        <f t="shared" si="48"/>
        <v/>
      </c>
      <c r="BH24" s="161" t="str">
        <f t="shared" si="15"/>
        <v/>
      </c>
      <c r="BI24" s="161" t="str">
        <f t="shared" si="16"/>
        <v/>
      </c>
      <c r="BJ24" s="161" t="str">
        <f t="shared" si="17"/>
        <v/>
      </c>
      <c r="BK24" s="161" t="str">
        <f t="shared" si="18"/>
        <v/>
      </c>
      <c r="BL24" s="161" t="str">
        <f t="shared" si="19"/>
        <v/>
      </c>
      <c r="BM24" s="161" t="str">
        <f t="shared" si="20"/>
        <v/>
      </c>
      <c r="BN24" s="161" t="str">
        <f t="shared" si="21"/>
        <v/>
      </c>
      <c r="BO24" s="161" t="str">
        <f t="shared" si="22"/>
        <v/>
      </c>
      <c r="BP24" s="161" t="s">
        <v>32</v>
      </c>
      <c r="BQ24" s="161">
        <v>4</v>
      </c>
      <c r="BU24" s="161">
        <f t="shared" ref="BU24:BV24" si="53">IF(RIGHT(BD36,3)="win",3,IF(RIGHT(BD36,3)="raw",1,IF(RIGHT(BD36,3)="ose",-1,0)))</f>
        <v>3</v>
      </c>
      <c r="BV24" s="161">
        <f t="shared" si="53"/>
        <v>-1</v>
      </c>
      <c r="BW24" s="161">
        <f t="shared" ref="BW24:BX24" si="54">IF(RIGHT(BD48,3)="win",3,IF(RIGHT(BD48,3)="raw",1,IF(RIGHT(BD48,3)="ose",-1,0)))</f>
        <v>-1</v>
      </c>
      <c r="BX24" s="161">
        <f t="shared" si="54"/>
        <v>3</v>
      </c>
    </row>
    <row r="25" spans="1:76" ht="16.5" customHeight="1" x14ac:dyDescent="0.2">
      <c r="A25" s="167"/>
      <c r="B25" s="136" t="str">
        <f>INDEX(T,24,langID)</f>
        <v>Oct</v>
      </c>
      <c r="C25" s="137">
        <v>23</v>
      </c>
      <c r="D25" s="137">
        <v>2013</v>
      </c>
      <c r="E25" s="138">
        <v>0.86458333333333337</v>
      </c>
      <c r="F25" s="140" t="str">
        <f>AC25</f>
        <v>Anderlecht</v>
      </c>
      <c r="G25" s="156">
        <v>0</v>
      </c>
      <c r="H25" s="157">
        <v>5</v>
      </c>
      <c r="I25" s="139" t="str">
        <f>AC23</f>
        <v>PSG</v>
      </c>
      <c r="J25" s="19"/>
      <c r="K25" s="25" t="str">
        <f>VLOOKUP(2,AB23:AI26,2,FALSE)</f>
        <v>Benfica</v>
      </c>
      <c r="L25" s="26">
        <f>VLOOKUP(2,AB23:AI26,3,FALSE)</f>
        <v>1</v>
      </c>
      <c r="M25" s="26">
        <f>VLOOKUP(2,AB23:AI26,4,FALSE)</f>
        <v>1</v>
      </c>
      <c r="N25" s="26">
        <f>VLOOKUP(2,AB23:AI26,5,FALSE)</f>
        <v>2</v>
      </c>
      <c r="O25" s="26" t="str">
        <f>CONCATENATE(VLOOKUP(2,AB23:AI26,6,FALSE)," - ",VLOOKUP(2,AB23:AI26,7,FALSE))</f>
        <v>3 - 5</v>
      </c>
      <c r="P25" s="27">
        <f>VLOOKUP(2,AB23:AI26,8,FALSE)</f>
        <v>4</v>
      </c>
      <c r="Q25" s="19"/>
      <c r="R25" s="136" t="str">
        <f t="shared" si="23"/>
        <v>Oct</v>
      </c>
      <c r="S25" s="137">
        <f t="shared" si="0"/>
        <v>23</v>
      </c>
      <c r="T25" s="137">
        <f t="shared" si="1"/>
        <v>2013</v>
      </c>
      <c r="U25" s="138">
        <v>0.75</v>
      </c>
      <c r="V25" s="140" t="str">
        <f>AC32</f>
        <v>CSKA Moskva</v>
      </c>
      <c r="W25" s="156">
        <v>1</v>
      </c>
      <c r="X25" s="157">
        <v>2</v>
      </c>
      <c r="Y25" s="147" t="str">
        <f>AC30</f>
        <v>Manchester City</v>
      </c>
      <c r="Z25" s="179"/>
      <c r="AB25" s="160">
        <f>IF(AJ25&gt;AJ23,1,0)+IF(AJ25&gt;AJ24,1,0)+IF(AJ25&gt;AJ25,1,0)+IF(AJ25&gt;AJ26,1,0)+1</f>
        <v>1</v>
      </c>
      <c r="AC25" s="161" t="str">
        <f>INDEX(T,37,langID)</f>
        <v>Anderlecht</v>
      </c>
      <c r="AD25" s="162">
        <f>COUNTIF(BD9:BE104,CONCATENATE(AC25,"_win"))</f>
        <v>0</v>
      </c>
      <c r="AE25" s="162">
        <f>COUNTIF(BD9:BE104,CONCATENATE(AC25,"_draw"))</f>
        <v>1</v>
      </c>
      <c r="AF25" s="162">
        <f>COUNTIF(BD9:BE104,CONCATENATE(AC25,"_lose"))</f>
        <v>3</v>
      </c>
      <c r="AG25" s="162">
        <f>SUMIF(AZ9:AZ104,CONCATENATE("=",AC25),BA9:BA104)+SUMIF(AV9:AV104,CONCATENATE("=",AC25),AW9:AW104)</f>
        <v>1</v>
      </c>
      <c r="AH25" s="162">
        <f>SUMIF(BB9:BB104,CONCATENATE("=",AC25),BC9:BC104)+SUMIF(AX9:AX104,CONCATENATE("=",AC25),AY9:AY104)</f>
        <v>11</v>
      </c>
      <c r="AI25" s="162">
        <f>AD25*3+AE25</f>
        <v>1</v>
      </c>
      <c r="AJ25" s="162">
        <f>0.2+AG25+(AG25-AH25)*100+AD25*1000+AI25*10000000+AS25*10000</f>
        <v>9999001.1999999993</v>
      </c>
      <c r="AK25" s="161">
        <f>IF(COUNTIF(AI23:AI26,CONCATENATE("=",AI25))=1,0,COUNTIF(AI23:AI26,CONCATENATE("=",AI25)))*AI25</f>
        <v>0</v>
      </c>
      <c r="AN25" s="162">
        <f>IF(AI25=AM23,1,0)</f>
        <v>0</v>
      </c>
      <c r="AO25" s="162">
        <f>COUNTIF(BF9:BG104,CONCATENATE(AC25,"_win"))</f>
        <v>0</v>
      </c>
      <c r="AP25" s="162">
        <f>SUMIF(BL9:BL104,CONCATENATE("=",AC25),BM9:BM104)*1.01+SUMIF(BH9:BH104,CONCATENATE("=",AC25),BI9:BI104)</f>
        <v>0</v>
      </c>
      <c r="AQ25" s="162">
        <f>SUMIF(BN9:BN104,CONCATENATE("=",AC25),BO9:BO104)+SUMIF(BJ9:BJ104,CONCATENATE("=",AC25),BK9:BK104)</f>
        <v>0</v>
      </c>
      <c r="AR25" s="161">
        <f>300*AO25+(AP25-AQ25)*10+AP25</f>
        <v>0</v>
      </c>
      <c r="AS25" s="161">
        <f>IF(AR25&gt;0,AR25,0)</f>
        <v>0</v>
      </c>
      <c r="AU25" s="161">
        <f>VLOOKUP(Y13,AC9:AN61,12,FALSE)+VLOOKUP(V13,AC9:AN61,12,FALSE)</f>
        <v>0</v>
      </c>
      <c r="AV25" s="161" t="str">
        <f t="shared" si="37"/>
        <v>Real Madrid</v>
      </c>
      <c r="AW25" s="161">
        <f t="shared" si="38"/>
        <v>2</v>
      </c>
      <c r="AX25" s="161" t="str">
        <f t="shared" si="39"/>
        <v>Real Madrid</v>
      </c>
      <c r="AY25" s="161">
        <f t="shared" si="40"/>
        <v>1</v>
      </c>
      <c r="AZ25" s="161" t="str">
        <f t="shared" si="41"/>
        <v>Juventus</v>
      </c>
      <c r="BA25" s="161">
        <f t="shared" si="42"/>
        <v>1</v>
      </c>
      <c r="BB25" s="161" t="str">
        <f t="shared" si="43"/>
        <v>Juventus</v>
      </c>
      <c r="BC25" s="161">
        <f t="shared" si="44"/>
        <v>2</v>
      </c>
      <c r="BD25" s="161" t="str">
        <f t="shared" si="45"/>
        <v>Real Madrid_win</v>
      </c>
      <c r="BE25" s="161" t="str">
        <f t="shared" si="46"/>
        <v>Juventus_lose</v>
      </c>
      <c r="BF25" s="161" t="str">
        <f t="shared" si="47"/>
        <v/>
      </c>
      <c r="BG25" s="161" t="str">
        <f t="shared" si="48"/>
        <v/>
      </c>
      <c r="BH25" s="161" t="str">
        <f t="shared" si="15"/>
        <v/>
      </c>
      <c r="BI25" s="161" t="str">
        <f t="shared" si="16"/>
        <v/>
      </c>
      <c r="BJ25" s="161" t="str">
        <f t="shared" si="17"/>
        <v/>
      </c>
      <c r="BK25" s="161" t="str">
        <f t="shared" si="18"/>
        <v/>
      </c>
      <c r="BL25" s="161" t="str">
        <f t="shared" si="19"/>
        <v/>
      </c>
      <c r="BM25" s="161" t="str">
        <f t="shared" si="20"/>
        <v/>
      </c>
      <c r="BN25" s="161" t="str">
        <f t="shared" si="21"/>
        <v/>
      </c>
      <c r="BO25" s="161" t="str">
        <f t="shared" si="22"/>
        <v/>
      </c>
      <c r="BP25" s="161" t="s">
        <v>33</v>
      </c>
      <c r="BQ25" s="161">
        <v>5</v>
      </c>
      <c r="BU25" s="161">
        <f t="shared" ref="BU25:BV25" si="55">IF(RIGHT(BD37,3)="win",3,IF(RIGHT(BD37,3)="raw",1,IF(RIGHT(BD37,3)="ose",-1,0)))</f>
        <v>-1</v>
      </c>
      <c r="BV25" s="161">
        <f t="shared" si="55"/>
        <v>3</v>
      </c>
      <c r="BW25" s="161">
        <f t="shared" ref="BW25:BX25" si="56">IF(RIGHT(BD49,3)="win",3,IF(RIGHT(BD49,3)="raw",1,IF(RIGHT(BD49,3)="ose",-1,0)))</f>
        <v>-1</v>
      </c>
      <c r="BX25" s="161">
        <f t="shared" si="56"/>
        <v>3</v>
      </c>
    </row>
    <row r="26" spans="1:76" ht="16.5" customHeight="1" x14ac:dyDescent="0.2">
      <c r="A26" s="167"/>
      <c r="B26" s="136" t="str">
        <f>INDEX(T,24,langID)</f>
        <v>Oct</v>
      </c>
      <c r="C26" s="137">
        <v>23</v>
      </c>
      <c r="D26" s="137">
        <v>2013</v>
      </c>
      <c r="E26" s="138">
        <v>0.86458333333333337</v>
      </c>
      <c r="F26" s="140" t="str">
        <f>AC24</f>
        <v>Benfica</v>
      </c>
      <c r="G26" s="156">
        <v>1</v>
      </c>
      <c r="H26" s="157">
        <v>1</v>
      </c>
      <c r="I26" s="139" t="str">
        <f>AC26</f>
        <v>Olympiacos</v>
      </c>
      <c r="J26" s="19"/>
      <c r="K26" s="31" t="str">
        <f>VLOOKUP(1,AB23:AI26,2,FALSE)</f>
        <v>Anderlecht</v>
      </c>
      <c r="L26" s="32">
        <f>VLOOKUP(1,AB23:AI26,3,FALSE)</f>
        <v>0</v>
      </c>
      <c r="M26" s="32">
        <f>VLOOKUP(1,AB23:AI26,4,FALSE)</f>
        <v>1</v>
      </c>
      <c r="N26" s="32">
        <f>VLOOKUP(1,AB23:AI26,5,FALSE)</f>
        <v>3</v>
      </c>
      <c r="O26" s="32" t="str">
        <f>CONCATENATE(VLOOKUP(1,AB23:AI26,6,FALSE)," - ",VLOOKUP(1,AB23:AI26,7,FALSE))</f>
        <v>1 - 11</v>
      </c>
      <c r="P26" s="33">
        <f>VLOOKUP(1,AB23:AI26,8,FALSE)</f>
        <v>1</v>
      </c>
      <c r="Q26" s="19"/>
      <c r="R26" s="136" t="str">
        <f t="shared" si="23"/>
        <v>Oct</v>
      </c>
      <c r="S26" s="137">
        <f t="shared" si="0"/>
        <v>23</v>
      </c>
      <c r="T26" s="137">
        <f t="shared" si="1"/>
        <v>2013</v>
      </c>
      <c r="U26" s="138">
        <f t="shared" si="2"/>
        <v>0.86458333333333337</v>
      </c>
      <c r="V26" s="140" t="str">
        <f>AC31</f>
        <v>Bayern München</v>
      </c>
      <c r="W26" s="156">
        <v>5</v>
      </c>
      <c r="X26" s="157">
        <v>0</v>
      </c>
      <c r="Y26" s="147" t="str">
        <f>AC33</f>
        <v>Viktoria Plzeň</v>
      </c>
      <c r="Z26" s="179"/>
      <c r="AB26" s="160">
        <f>IF(AJ26&gt;AJ23,1,0)+IF(AJ26&gt;AJ24,1,0)+IF(AJ26&gt;AJ25,1,0)+IF(AJ26&gt;AJ26,1,0)+1</f>
        <v>3</v>
      </c>
      <c r="AC26" s="161" t="str">
        <f>INDEX(T,38,langID)</f>
        <v>Olympiacos</v>
      </c>
      <c r="AD26" s="162">
        <f>COUNTIF(BD9:BE104,CONCATENATE(AC26,"_win"))</f>
        <v>2</v>
      </c>
      <c r="AE26" s="162">
        <f>COUNTIF(BD9:BE104,CONCATENATE(AC26,"_draw"))</f>
        <v>1</v>
      </c>
      <c r="AF26" s="162">
        <f>COUNTIF(BD9:BE104,CONCATENATE(AC26,"_lose"))</f>
        <v>1</v>
      </c>
      <c r="AG26" s="162">
        <f>SUMIF(AZ9:AZ104,CONCATENATE("=",AC26),BA9:BA104)+SUMIF(AV9:AV104,CONCATENATE("=",AC26),AW9:AW104)</f>
        <v>6</v>
      </c>
      <c r="AH26" s="162">
        <f>SUMIF(BB9:BB104,CONCATENATE("=",AC26),BC9:BC104)+SUMIF(AX9:AX104,CONCATENATE("=",AC26),AY9:AY104)</f>
        <v>5</v>
      </c>
      <c r="AI26" s="162">
        <f>AD26*3+AE26</f>
        <v>7</v>
      </c>
      <c r="AJ26" s="162">
        <f>0.1+AG26+(AG26-AH26)*100+AD26*1000+AI26*10000000+AS26*10000</f>
        <v>70002106.099999994</v>
      </c>
      <c r="AK26" s="161">
        <f>IF(COUNTIF(AI23:AI26,CONCATENATE("=",AI26))=1,0,COUNTIF(AI23:AI26,CONCATENATE("=",AI26)))*AI26</f>
        <v>0</v>
      </c>
      <c r="AN26" s="162">
        <f>IF(AI26=AM23,1,0)</f>
        <v>0</v>
      </c>
      <c r="AO26" s="162">
        <f>COUNTIF(BF9:BG104,CONCATENATE(AC26,"_win"))</f>
        <v>0</v>
      </c>
      <c r="AP26" s="162">
        <f>SUMIF(BL9:BL104,CONCATENATE("=",AC26),BM9:BM104)*1.01+SUMIF(BH9:BH104,CONCATENATE("=",AC26),BI9:BI104)</f>
        <v>0</v>
      </c>
      <c r="AQ26" s="162">
        <f>SUMIF(BN9:BN104,CONCATENATE("=",AC26),BO9:BO104)+SUMIF(BJ9:BJ104,CONCATENATE("=",AC26),BK9:BK104)</f>
        <v>0</v>
      </c>
      <c r="AR26" s="161">
        <f>300*AO26+(AP26-AQ26)*10+AP26</f>
        <v>0</v>
      </c>
      <c r="AS26" s="161">
        <f>IF(AR26&gt;0,AR26,0)</f>
        <v>0</v>
      </c>
      <c r="AU26" s="161">
        <f>VLOOKUP(Y14,AC9:AN61,12,FALSE)+VLOOKUP(V14,AC9:AN61,12,FALSE)</f>
        <v>2</v>
      </c>
      <c r="AV26" s="161" t="str">
        <f t="shared" si="37"/>
        <v>Galatasaray</v>
      </c>
      <c r="AW26" s="161">
        <f t="shared" si="38"/>
        <v>3</v>
      </c>
      <c r="AX26" s="161" t="str">
        <f t="shared" si="39"/>
        <v>Galatasaray</v>
      </c>
      <c r="AY26" s="161">
        <f t="shared" si="40"/>
        <v>1</v>
      </c>
      <c r="AZ26" s="161" t="str">
        <f t="shared" si="41"/>
        <v>FC København</v>
      </c>
      <c r="BA26" s="161">
        <f t="shared" si="42"/>
        <v>1</v>
      </c>
      <c r="BB26" s="161" t="str">
        <f t="shared" si="43"/>
        <v>FC København</v>
      </c>
      <c r="BC26" s="161">
        <f t="shared" si="44"/>
        <v>3</v>
      </c>
      <c r="BD26" s="161" t="str">
        <f t="shared" si="45"/>
        <v>Galatasaray_win</v>
      </c>
      <c r="BE26" s="161" t="str">
        <f t="shared" si="46"/>
        <v>FC København_lose</v>
      </c>
      <c r="BF26" s="161" t="str">
        <f t="shared" si="47"/>
        <v>Galatasaray_win</v>
      </c>
      <c r="BG26" s="161" t="str">
        <f t="shared" si="48"/>
        <v>FC København_lose</v>
      </c>
      <c r="BH26" s="161" t="str">
        <f t="shared" si="15"/>
        <v>Galatasaray</v>
      </c>
      <c r="BI26" s="161">
        <f t="shared" si="16"/>
        <v>3</v>
      </c>
      <c r="BJ26" s="161" t="str">
        <f t="shared" si="17"/>
        <v>Galatasaray</v>
      </c>
      <c r="BK26" s="161">
        <f t="shared" si="18"/>
        <v>1</v>
      </c>
      <c r="BL26" s="161" t="str">
        <f t="shared" si="19"/>
        <v>FC København</v>
      </c>
      <c r="BM26" s="161">
        <f t="shared" si="20"/>
        <v>1</v>
      </c>
      <c r="BN26" s="161" t="str">
        <f t="shared" si="21"/>
        <v>FC København</v>
      </c>
      <c r="BO26" s="161">
        <f t="shared" si="22"/>
        <v>3</v>
      </c>
      <c r="BP26" s="161" t="s">
        <v>34</v>
      </c>
      <c r="BQ26" s="161">
        <v>6</v>
      </c>
      <c r="BU26" s="161">
        <f t="shared" ref="BU26:BV26" si="57">IF(RIGHT(BD38,3)="win",3,IF(RIGHT(BD38,3)="raw",1,IF(RIGHT(BD38,3)="ose",-1,0)))</f>
        <v>1</v>
      </c>
      <c r="BV26" s="161">
        <f t="shared" si="57"/>
        <v>1</v>
      </c>
      <c r="BW26" s="161">
        <f t="shared" ref="BW26:BX26" si="58">IF(RIGHT(BD50,3)="win",3,IF(RIGHT(BD50,3)="raw",1,IF(RIGHT(BD50,3)="ose",-1,0)))</f>
        <v>3</v>
      </c>
      <c r="BX26" s="161">
        <f t="shared" si="58"/>
        <v>-1</v>
      </c>
    </row>
    <row r="27" spans="1:76" ht="16.5" customHeight="1" x14ac:dyDescent="0.2">
      <c r="A27" s="167"/>
      <c r="B27" s="136" t="str">
        <f>INDEX(T,25,langID)</f>
        <v>Nov</v>
      </c>
      <c r="C27" s="137">
        <v>5</v>
      </c>
      <c r="D27" s="137">
        <v>2013</v>
      </c>
      <c r="E27" s="138">
        <v>0.86458333333333337</v>
      </c>
      <c r="F27" s="140" t="str">
        <f>AC23</f>
        <v>PSG</v>
      </c>
      <c r="G27" s="156">
        <v>1</v>
      </c>
      <c r="H27" s="157">
        <v>1</v>
      </c>
      <c r="I27" s="139" t="str">
        <f>AC25</f>
        <v>Anderlecht</v>
      </c>
      <c r="J27" s="19"/>
      <c r="K27" s="19"/>
      <c r="L27" s="34"/>
      <c r="M27" s="34"/>
      <c r="N27" s="34"/>
      <c r="O27" s="34"/>
      <c r="P27" s="34"/>
      <c r="Q27" s="19"/>
      <c r="R27" s="136" t="str">
        <f t="shared" si="23"/>
        <v>Nov</v>
      </c>
      <c r="S27" s="137">
        <f t="shared" si="0"/>
        <v>5</v>
      </c>
      <c r="T27" s="137">
        <f t="shared" si="1"/>
        <v>2013</v>
      </c>
      <c r="U27" s="138">
        <f t="shared" si="2"/>
        <v>0.86458333333333337</v>
      </c>
      <c r="V27" s="140" t="str">
        <f>AC30</f>
        <v>Manchester City</v>
      </c>
      <c r="W27" s="156">
        <v>5</v>
      </c>
      <c r="X27" s="157">
        <v>2</v>
      </c>
      <c r="Y27" s="147" t="str">
        <f>AC32</f>
        <v>CSKA Moskva</v>
      </c>
      <c r="Z27" s="179"/>
      <c r="AK27" s="161">
        <f>MAX(AK23:AK26)</f>
        <v>0</v>
      </c>
      <c r="AU27" s="161">
        <f>VLOOKUP(Y15,AC9:AN61,12,FALSE)+VLOOKUP(V15,AC9:AN61,12,FALSE)</f>
        <v>0</v>
      </c>
      <c r="AV27" s="161" t="str">
        <f t="shared" si="37"/>
        <v>Juventus</v>
      </c>
      <c r="AW27" s="161">
        <f t="shared" si="38"/>
        <v>2</v>
      </c>
      <c r="AX27" s="161" t="str">
        <f t="shared" si="39"/>
        <v>Juventus</v>
      </c>
      <c r="AY27" s="161">
        <f t="shared" si="40"/>
        <v>2</v>
      </c>
      <c r="AZ27" s="161" t="str">
        <f t="shared" si="41"/>
        <v>Real Madrid</v>
      </c>
      <c r="BA27" s="161">
        <f t="shared" si="42"/>
        <v>2</v>
      </c>
      <c r="BB27" s="161" t="str">
        <f t="shared" si="43"/>
        <v>Real Madrid</v>
      </c>
      <c r="BC27" s="161">
        <f t="shared" si="44"/>
        <v>2</v>
      </c>
      <c r="BD27" s="161" t="str">
        <f t="shared" si="45"/>
        <v>Juventus_draw</v>
      </c>
      <c r="BE27" s="161" t="str">
        <f t="shared" si="46"/>
        <v>Real Madrid_draw</v>
      </c>
      <c r="BF27" s="161" t="str">
        <f t="shared" si="47"/>
        <v/>
      </c>
      <c r="BG27" s="161" t="str">
        <f t="shared" si="48"/>
        <v/>
      </c>
      <c r="BH27" s="161" t="str">
        <f t="shared" si="15"/>
        <v/>
      </c>
      <c r="BI27" s="161" t="str">
        <f t="shared" si="16"/>
        <v/>
      </c>
      <c r="BJ27" s="161" t="str">
        <f t="shared" si="17"/>
        <v/>
      </c>
      <c r="BK27" s="161" t="str">
        <f t="shared" si="18"/>
        <v/>
      </c>
      <c r="BL27" s="161" t="str">
        <f t="shared" si="19"/>
        <v/>
      </c>
      <c r="BM27" s="161" t="str">
        <f t="shared" si="20"/>
        <v/>
      </c>
      <c r="BN27" s="161" t="str">
        <f t="shared" si="21"/>
        <v/>
      </c>
      <c r="BO27" s="161" t="str">
        <f t="shared" si="22"/>
        <v/>
      </c>
      <c r="BP27" s="161" t="s">
        <v>35</v>
      </c>
      <c r="BQ27" s="161">
        <v>7</v>
      </c>
      <c r="BU27" s="161">
        <f t="shared" ref="BU27:BV27" si="59">IF(RIGHT(BD39,3)="win",3,IF(RIGHT(BD39,3)="raw",1,IF(RIGHT(BD39,3)="ose",-1,0)))</f>
        <v>1</v>
      </c>
      <c r="BV27" s="161">
        <f t="shared" si="59"/>
        <v>1</v>
      </c>
      <c r="BW27" s="161">
        <f t="shared" ref="BW27:BX27" si="60">IF(RIGHT(BD51,3)="win",3,IF(RIGHT(BD51,3)="raw",1,IF(RIGHT(BD51,3)="ose",-1,0)))</f>
        <v>3</v>
      </c>
      <c r="BX27" s="161">
        <f t="shared" si="60"/>
        <v>-1</v>
      </c>
    </row>
    <row r="28" spans="1:76" ht="16.5" customHeight="1" x14ac:dyDescent="0.2">
      <c r="A28" s="167"/>
      <c r="B28" s="136" t="str">
        <f>INDEX(T,25,langID)</f>
        <v>Nov</v>
      </c>
      <c r="C28" s="137">
        <v>5</v>
      </c>
      <c r="D28" s="137">
        <v>2013</v>
      </c>
      <c r="E28" s="138">
        <v>0.86458333333333337</v>
      </c>
      <c r="F28" s="140" t="str">
        <f>AC26</f>
        <v>Olympiacos</v>
      </c>
      <c r="G28" s="156">
        <v>1</v>
      </c>
      <c r="H28" s="157">
        <v>0</v>
      </c>
      <c r="I28" s="139" t="str">
        <f>AC24</f>
        <v>Benfica</v>
      </c>
      <c r="J28" s="19"/>
      <c r="K28" s="197" t="str">
        <f>INDEX(T,4,langID) &amp; " D"</f>
        <v>Group D</v>
      </c>
      <c r="L28" s="181" t="str">
        <f>INDEX(T,7,langID)</f>
        <v>Win</v>
      </c>
      <c r="M28" s="181" t="str">
        <f>INDEX(T,8,langID)</f>
        <v>Draw</v>
      </c>
      <c r="N28" s="181" t="str">
        <f>INDEX(T,9,langID)</f>
        <v>Lose</v>
      </c>
      <c r="O28" s="181" t="str">
        <f>INDEX(T,10,langID)</f>
        <v>F - A</v>
      </c>
      <c r="P28" s="183" t="str">
        <f>INDEX(T,11,langID)</f>
        <v>Pts</v>
      </c>
      <c r="Q28" s="19"/>
      <c r="R28" s="136" t="str">
        <f t="shared" si="23"/>
        <v>Nov</v>
      </c>
      <c r="S28" s="137">
        <f t="shared" si="0"/>
        <v>5</v>
      </c>
      <c r="T28" s="137">
        <f t="shared" si="1"/>
        <v>2013</v>
      </c>
      <c r="U28" s="138">
        <f t="shared" si="2"/>
        <v>0.86458333333333337</v>
      </c>
      <c r="V28" s="140" t="str">
        <f>AC33</f>
        <v>Viktoria Plzeň</v>
      </c>
      <c r="W28" s="156">
        <v>0</v>
      </c>
      <c r="X28" s="157">
        <v>1</v>
      </c>
      <c r="Y28" s="147" t="str">
        <f>AC31</f>
        <v>Bayern München</v>
      </c>
      <c r="Z28" s="179"/>
      <c r="AU28" s="161">
        <f>VLOOKUP(Y16,AC9:AN61,12,FALSE)+VLOOKUP(V16,AC9:AN61,12,FALSE)</f>
        <v>2</v>
      </c>
      <c r="AV28" s="161" t="str">
        <f t="shared" si="37"/>
        <v>FC København</v>
      </c>
      <c r="AW28" s="161">
        <f t="shared" si="38"/>
        <v>1</v>
      </c>
      <c r="AX28" s="161" t="str">
        <f t="shared" si="39"/>
        <v>FC København</v>
      </c>
      <c r="AY28" s="161">
        <f t="shared" si="40"/>
        <v>0</v>
      </c>
      <c r="AZ28" s="161" t="str">
        <f t="shared" si="41"/>
        <v>Galatasaray</v>
      </c>
      <c r="BA28" s="161">
        <f t="shared" si="42"/>
        <v>0</v>
      </c>
      <c r="BB28" s="161" t="str">
        <f t="shared" si="43"/>
        <v>Galatasaray</v>
      </c>
      <c r="BC28" s="161">
        <f t="shared" si="44"/>
        <v>1</v>
      </c>
      <c r="BD28" s="161" t="str">
        <f t="shared" si="45"/>
        <v>FC København_win</v>
      </c>
      <c r="BE28" s="161" t="str">
        <f t="shared" si="46"/>
        <v>Galatasaray_lose</v>
      </c>
      <c r="BF28" s="161" t="str">
        <f t="shared" si="47"/>
        <v>FC København_win</v>
      </c>
      <c r="BG28" s="161" t="str">
        <f t="shared" si="48"/>
        <v>Galatasaray_lose</v>
      </c>
      <c r="BH28" s="161" t="str">
        <f t="shared" si="15"/>
        <v>FC København</v>
      </c>
      <c r="BI28" s="161">
        <f t="shared" si="16"/>
        <v>1</v>
      </c>
      <c r="BJ28" s="161" t="str">
        <f t="shared" si="17"/>
        <v>FC København</v>
      </c>
      <c r="BK28" s="161">
        <f t="shared" si="18"/>
        <v>0</v>
      </c>
      <c r="BL28" s="161" t="str">
        <f t="shared" si="19"/>
        <v>Galatasaray</v>
      </c>
      <c r="BM28" s="161">
        <f t="shared" si="20"/>
        <v>0</v>
      </c>
      <c r="BN28" s="161" t="str">
        <f t="shared" si="21"/>
        <v>Galatasaray</v>
      </c>
      <c r="BO28" s="161">
        <f t="shared" si="22"/>
        <v>1</v>
      </c>
      <c r="BP28" s="161" t="s">
        <v>36</v>
      </c>
      <c r="BQ28" s="161">
        <v>8</v>
      </c>
      <c r="BU28" s="161">
        <f t="shared" ref="BU28:BV28" si="61">IF(RIGHT(BD40,3)="win",3,IF(RIGHT(BD40,3)="raw",1,IF(RIGHT(BD40,3)="ose",-1,0)))</f>
        <v>3</v>
      </c>
      <c r="BV28" s="161">
        <f t="shared" si="61"/>
        <v>-1</v>
      </c>
      <c r="BW28" s="161">
        <f t="shared" ref="BW28:BX28" si="62">IF(RIGHT(BD52,3)="win",3,IF(RIGHT(BD52,3)="raw",1,IF(RIGHT(BD52,3)="ose",-1,0)))</f>
        <v>-1</v>
      </c>
      <c r="BX28" s="161">
        <f t="shared" si="62"/>
        <v>3</v>
      </c>
    </row>
    <row r="29" spans="1:76" ht="16.5" customHeight="1" x14ac:dyDescent="0.2">
      <c r="A29" s="167"/>
      <c r="B29" s="136" t="str">
        <f>INDEX(T,25,langID)</f>
        <v>Nov</v>
      </c>
      <c r="C29" s="137">
        <v>27</v>
      </c>
      <c r="D29" s="137">
        <v>2013</v>
      </c>
      <c r="E29" s="138">
        <v>0.86458333333333337</v>
      </c>
      <c r="F29" s="140" t="str">
        <f>AC23</f>
        <v>PSG</v>
      </c>
      <c r="G29" s="156"/>
      <c r="H29" s="157"/>
      <c r="I29" s="139" t="str">
        <f>AC26</f>
        <v>Olympiacos</v>
      </c>
      <c r="J29" s="19"/>
      <c r="K29" s="198"/>
      <c r="L29" s="182"/>
      <c r="M29" s="182"/>
      <c r="N29" s="182"/>
      <c r="O29" s="182"/>
      <c r="P29" s="184"/>
      <c r="Q29" s="19"/>
      <c r="R29" s="136" t="str">
        <f t="shared" si="23"/>
        <v>Nov</v>
      </c>
      <c r="S29" s="137">
        <f t="shared" si="0"/>
        <v>27</v>
      </c>
      <c r="T29" s="137">
        <f t="shared" si="1"/>
        <v>2013</v>
      </c>
      <c r="U29" s="138">
        <f t="shared" si="2"/>
        <v>0.86458333333333337</v>
      </c>
      <c r="V29" s="140" t="str">
        <f>AC30</f>
        <v>Manchester City</v>
      </c>
      <c r="W29" s="156"/>
      <c r="X29" s="157"/>
      <c r="Y29" s="147" t="str">
        <f>AC33</f>
        <v>Viktoria Plzeň</v>
      </c>
      <c r="Z29" s="179"/>
      <c r="AU29" s="161">
        <f>VLOOKUP(Y17,AC9:AN61,12,FALSE)+VLOOKUP(V17,AC9:AN61,12,FALSE)</f>
        <v>1</v>
      </c>
      <c r="AV29" s="161" t="str">
        <f t="shared" si="37"/>
        <v>Juventus</v>
      </c>
      <c r="AW29" s="161">
        <f t="shared" si="38"/>
        <v>0</v>
      </c>
      <c r="AX29" s="161" t="str">
        <f t="shared" si="39"/>
        <v>Juventus</v>
      </c>
      <c r="AY29" s="161">
        <f t="shared" si="40"/>
        <v>0</v>
      </c>
      <c r="AZ29" s="161" t="str">
        <f t="shared" si="41"/>
        <v>FC København</v>
      </c>
      <c r="BA29" s="161">
        <f t="shared" si="42"/>
        <v>0</v>
      </c>
      <c r="BB29" s="161" t="str">
        <f t="shared" si="43"/>
        <v>FC København</v>
      </c>
      <c r="BC29" s="161">
        <f t="shared" si="44"/>
        <v>0</v>
      </c>
      <c r="BD29" s="161" t="str">
        <f t="shared" si="45"/>
        <v/>
      </c>
      <c r="BE29" s="161" t="str">
        <f t="shared" si="46"/>
        <v/>
      </c>
      <c r="BF29" s="161" t="str">
        <f t="shared" si="47"/>
        <v/>
      </c>
      <c r="BG29" s="161" t="str">
        <f t="shared" si="48"/>
        <v/>
      </c>
      <c r="BH29" s="161" t="str">
        <f t="shared" si="15"/>
        <v/>
      </c>
      <c r="BI29" s="161" t="str">
        <f t="shared" si="16"/>
        <v/>
      </c>
      <c r="BJ29" s="161" t="str">
        <f t="shared" si="17"/>
        <v/>
      </c>
      <c r="BK29" s="161" t="str">
        <f t="shared" si="18"/>
        <v/>
      </c>
      <c r="BL29" s="161" t="str">
        <f t="shared" si="19"/>
        <v/>
      </c>
      <c r="BM29" s="161" t="str">
        <f t="shared" si="20"/>
        <v/>
      </c>
      <c r="BN29" s="161" t="str">
        <f t="shared" si="21"/>
        <v/>
      </c>
      <c r="BO29" s="161" t="str">
        <f t="shared" si="22"/>
        <v/>
      </c>
      <c r="BP29" s="161" t="s">
        <v>37</v>
      </c>
      <c r="BQ29" s="161">
        <v>9</v>
      </c>
      <c r="BU29" s="161">
        <f t="shared" ref="BU29:BV29" si="63">IF(RIGHT(BD41,3)="win",3,IF(RIGHT(BD41,3)="raw",1,IF(RIGHT(BD41,3)="ose",-1,0)))</f>
        <v>0</v>
      </c>
      <c r="BV29" s="161">
        <f t="shared" si="63"/>
        <v>0</v>
      </c>
      <c r="BW29" s="161">
        <f t="shared" ref="BW29:BX29" si="64">IF(RIGHT(BD53,3)="win",3,IF(RIGHT(BD53,3)="raw",1,IF(RIGHT(BD53,3)="ose",-1,0)))</f>
        <v>0</v>
      </c>
      <c r="BX29" s="161">
        <f t="shared" si="64"/>
        <v>0</v>
      </c>
    </row>
    <row r="30" spans="1:76" ht="16.5" customHeight="1" x14ac:dyDescent="0.2">
      <c r="A30" s="167"/>
      <c r="B30" s="136" t="str">
        <f>INDEX(T,25,langID)</f>
        <v>Nov</v>
      </c>
      <c r="C30" s="137">
        <v>27</v>
      </c>
      <c r="D30" s="137">
        <v>2013</v>
      </c>
      <c r="E30" s="138">
        <v>0.86458333333333337</v>
      </c>
      <c r="F30" s="140" t="str">
        <f>AC25</f>
        <v>Anderlecht</v>
      </c>
      <c r="G30" s="156"/>
      <c r="H30" s="157"/>
      <c r="I30" s="139" t="str">
        <f>AC24</f>
        <v>Benfica</v>
      </c>
      <c r="J30" s="19"/>
      <c r="K30" s="22" t="str">
        <f>VLOOKUP(4,AB30:AI33,2,FALSE)</f>
        <v>Bayern München</v>
      </c>
      <c r="L30" s="23">
        <f>VLOOKUP(4,AB30:AI33,3,FALSE)</f>
        <v>4</v>
      </c>
      <c r="M30" s="23">
        <f>VLOOKUP(4,AB30:AI33,4,FALSE)</f>
        <v>0</v>
      </c>
      <c r="N30" s="23">
        <f>VLOOKUP(4,AB30:AI33,5,FALSE)</f>
        <v>0</v>
      </c>
      <c r="O30" s="23" t="str">
        <f>CONCATENATE(VLOOKUP(4,AB30:AI33,6,FALSE)," - ",VLOOKUP(4,AB30:AI33,7,FALSE))</f>
        <v>12 - 1</v>
      </c>
      <c r="P30" s="24">
        <f>VLOOKUP(4,AB30:AI33,8,FALSE)</f>
        <v>12</v>
      </c>
      <c r="Q30" s="19"/>
      <c r="R30" s="136" t="str">
        <f t="shared" si="23"/>
        <v>Nov</v>
      </c>
      <c r="S30" s="137">
        <f t="shared" si="0"/>
        <v>27</v>
      </c>
      <c r="T30" s="137">
        <f t="shared" si="1"/>
        <v>2013</v>
      </c>
      <c r="U30" s="138">
        <v>0.75</v>
      </c>
      <c r="V30" s="140" t="str">
        <f>AC32</f>
        <v>CSKA Moskva</v>
      </c>
      <c r="W30" s="156"/>
      <c r="X30" s="157"/>
      <c r="Y30" s="147" t="str">
        <f>AC31</f>
        <v>Bayern München</v>
      </c>
      <c r="Z30" s="179"/>
      <c r="AB30" s="160">
        <f>IF(AJ30&gt;AJ30,1,0)+IF(AJ30&gt;AJ31,1,0)+IF(AJ30&gt;AJ32,1,0)+IF(AJ30&gt;AJ33,1,0)+1</f>
        <v>3</v>
      </c>
      <c r="AC30" s="161" t="str">
        <f>INDEX(T,39,langID)</f>
        <v>Manchester City</v>
      </c>
      <c r="AD30" s="162">
        <f>COUNTIF(BD9:BE104,CONCATENATE(AC30,"_win"))</f>
        <v>3</v>
      </c>
      <c r="AE30" s="162">
        <f>COUNTIF(BD9:BE104,CONCATENATE(AC30,"_draw"))</f>
        <v>0</v>
      </c>
      <c r="AF30" s="162">
        <f>COUNTIF(BD9:BE104,CONCATENATE(AC30,"_lose"))</f>
        <v>1</v>
      </c>
      <c r="AG30" s="162">
        <f>SUMIF(AZ9:AZ104,CONCATENATE("=",AC30),BA9:BA104)+SUMIF(AV9:AV104,CONCATENATE("=",AC30),AW9:AW104)</f>
        <v>11</v>
      </c>
      <c r="AH30" s="162">
        <f>SUMIF(BB9:BB104,CONCATENATE("=",AC30),BC9:BC104)+SUMIF(AX9:AX104,CONCATENATE("=",AC30),AY9:AY104)</f>
        <v>6</v>
      </c>
      <c r="AI30" s="162">
        <f>AD30*3+AE30</f>
        <v>9</v>
      </c>
      <c r="AJ30" s="162">
        <f>0.4+AG30+(AG30-AH30)*100+AD30*1000+AI30*10000000+AS30*10000</f>
        <v>90003511.400000006</v>
      </c>
      <c r="AK30" s="161">
        <f>IF(COUNTIF(AI30:AI33,CONCATENATE("=",AI30))=1,0,COUNTIF(AI30:AI33,CONCATENATE("=",AI30)))*AI30</f>
        <v>0</v>
      </c>
      <c r="AM30" s="162">
        <f>IF(AK30=AK34,AI30,IF(AK31=AK34,AI31,IF(AK32=AK34,AI32,AI33)))</f>
        <v>9</v>
      </c>
      <c r="AN30" s="162">
        <f>IF(AI30=AM30,1,0)</f>
        <v>1</v>
      </c>
      <c r="AO30" s="162">
        <f>COUNTIF(BF9:BG104,CONCATENATE(AC30,"_win"))</f>
        <v>0</v>
      </c>
      <c r="AP30" s="162">
        <f>SUMIF(BL9:BL104,CONCATENATE("=",AC30),BM9:BM104)*1.01+SUMIF(BH9:BH104,CONCATENATE("=",AC30),BI9:BI104)</f>
        <v>0</v>
      </c>
      <c r="AQ30" s="162">
        <f>SUMIF(BN9:BN104,CONCATENATE("=",AC30),BO9:BO104)+SUMIF(BJ9:BJ104,CONCATENATE("=",AC30),BK9:BK104)</f>
        <v>0</v>
      </c>
      <c r="AR30" s="161">
        <f>300*AO30+(AP30-AQ30)*10+AP30</f>
        <v>0</v>
      </c>
      <c r="AS30" s="161">
        <f>IF(AR30&gt;0,AR30,0)</f>
        <v>0</v>
      </c>
      <c r="AU30" s="161">
        <f>VLOOKUP(Y18,AC9:AN61,12,FALSE)+VLOOKUP(V18,AC9:AN61,12,FALSE)</f>
        <v>1</v>
      </c>
      <c r="AV30" s="161" t="str">
        <f t="shared" si="37"/>
        <v>Real Madrid</v>
      </c>
      <c r="AW30" s="161">
        <f t="shared" si="38"/>
        <v>0</v>
      </c>
      <c r="AX30" s="161" t="str">
        <f t="shared" si="39"/>
        <v>Real Madrid</v>
      </c>
      <c r="AY30" s="161">
        <f t="shared" si="40"/>
        <v>0</v>
      </c>
      <c r="AZ30" s="161" t="str">
        <f t="shared" si="41"/>
        <v>Galatasaray</v>
      </c>
      <c r="BA30" s="161">
        <f t="shared" si="42"/>
        <v>0</v>
      </c>
      <c r="BB30" s="161" t="str">
        <f t="shared" si="43"/>
        <v>Galatasaray</v>
      </c>
      <c r="BC30" s="161">
        <f t="shared" si="44"/>
        <v>0</v>
      </c>
      <c r="BD30" s="161" t="str">
        <f t="shared" si="45"/>
        <v/>
      </c>
      <c r="BE30" s="161" t="str">
        <f t="shared" si="46"/>
        <v/>
      </c>
      <c r="BF30" s="161" t="str">
        <f t="shared" si="47"/>
        <v/>
      </c>
      <c r="BG30" s="161" t="str">
        <f t="shared" si="48"/>
        <v/>
      </c>
      <c r="BH30" s="161" t="str">
        <f t="shared" si="15"/>
        <v/>
      </c>
      <c r="BI30" s="161" t="str">
        <f t="shared" si="16"/>
        <v/>
      </c>
      <c r="BJ30" s="161" t="str">
        <f t="shared" si="17"/>
        <v/>
      </c>
      <c r="BK30" s="161" t="str">
        <f t="shared" si="18"/>
        <v/>
      </c>
      <c r="BL30" s="161" t="str">
        <f t="shared" si="19"/>
        <v/>
      </c>
      <c r="BM30" s="161" t="str">
        <f t="shared" si="20"/>
        <v/>
      </c>
      <c r="BN30" s="161" t="str">
        <f t="shared" si="21"/>
        <v/>
      </c>
      <c r="BO30" s="161" t="str">
        <f t="shared" si="22"/>
        <v/>
      </c>
      <c r="BP30" s="161" t="s">
        <v>38</v>
      </c>
      <c r="BQ30" s="161">
        <v>10</v>
      </c>
      <c r="BU30" s="161">
        <f t="shared" ref="BU30:BV30" si="65">IF(RIGHT(BD42,3)="win",3,IF(RIGHT(BD42,3)="raw",1,IF(RIGHT(BD42,3)="ose",-1,0)))</f>
        <v>0</v>
      </c>
      <c r="BV30" s="161">
        <f t="shared" si="65"/>
        <v>0</v>
      </c>
      <c r="BW30" s="161">
        <f t="shared" ref="BW30:BX30" si="66">IF(RIGHT(BD54,3)="win",3,IF(RIGHT(BD54,3)="raw",1,IF(RIGHT(BD54,3)="ose",-1,0)))</f>
        <v>0</v>
      </c>
      <c r="BX30" s="161">
        <f t="shared" si="66"/>
        <v>0</v>
      </c>
    </row>
    <row r="31" spans="1:76" ht="16.5" customHeight="1" x14ac:dyDescent="0.2">
      <c r="A31" s="167"/>
      <c r="B31" s="136" t="str">
        <f>INDEX(T,26,langID)</f>
        <v>Dec</v>
      </c>
      <c r="C31" s="137">
        <v>10</v>
      </c>
      <c r="D31" s="137">
        <v>2013</v>
      </c>
      <c r="E31" s="138">
        <v>0.86458333333333337</v>
      </c>
      <c r="F31" s="140" t="str">
        <f>AC26</f>
        <v>Olympiacos</v>
      </c>
      <c r="G31" s="156"/>
      <c r="H31" s="157"/>
      <c r="I31" s="139" t="str">
        <f>AC25</f>
        <v>Anderlecht</v>
      </c>
      <c r="J31" s="19"/>
      <c r="K31" s="25" t="str">
        <f>VLOOKUP(3,AB30:AI33,2,FALSE)</f>
        <v>Manchester City</v>
      </c>
      <c r="L31" s="26">
        <f>VLOOKUP(3,AB30:AI33,3,FALSE)</f>
        <v>3</v>
      </c>
      <c r="M31" s="26">
        <f>VLOOKUP(3,AB30:AI33,4,FALSE)</f>
        <v>0</v>
      </c>
      <c r="N31" s="26">
        <f>VLOOKUP(3,AB30:AI33,5,FALSE)</f>
        <v>1</v>
      </c>
      <c r="O31" s="26" t="str">
        <f>CONCATENATE(VLOOKUP(3,AB30:AI33,6,FALSE)," - ",VLOOKUP(3,AB30:AI33,7,FALSE))</f>
        <v>11 - 6</v>
      </c>
      <c r="P31" s="27">
        <f>VLOOKUP(3,AB30:AI33,8,FALSE)</f>
        <v>9</v>
      </c>
      <c r="Q31" s="19"/>
      <c r="R31" s="136" t="str">
        <f t="shared" si="23"/>
        <v>Dec</v>
      </c>
      <c r="S31" s="137">
        <f t="shared" si="0"/>
        <v>10</v>
      </c>
      <c r="T31" s="137">
        <f t="shared" si="1"/>
        <v>2013</v>
      </c>
      <c r="U31" s="138">
        <f t="shared" si="2"/>
        <v>0.86458333333333337</v>
      </c>
      <c r="V31" s="140" t="str">
        <f>AC33</f>
        <v>Viktoria Plzeň</v>
      </c>
      <c r="W31" s="156"/>
      <c r="X31" s="157"/>
      <c r="Y31" s="147" t="str">
        <f>AC32</f>
        <v>CSKA Moskva</v>
      </c>
      <c r="Z31" s="179"/>
      <c r="AB31" s="160">
        <f>IF(AJ31&gt;AJ30,1,0)+IF(AJ31&gt;AJ31,1,0)+IF(AJ31&gt;AJ32,1,0)+IF(AJ31&gt;AJ33,1,0)+1</f>
        <v>4</v>
      </c>
      <c r="AC31" s="161" t="str">
        <f>INDEX(T,40,langID)</f>
        <v>Bayern München</v>
      </c>
      <c r="AD31" s="162">
        <f>COUNTIF(BD9:BE104,CONCATENATE(AC31,"_win"))</f>
        <v>4</v>
      </c>
      <c r="AE31" s="162">
        <f>COUNTIF(BD9:BE104,CONCATENATE(AC31,"_draw"))</f>
        <v>0</v>
      </c>
      <c r="AF31" s="162">
        <f>COUNTIF(BD9:BE104,CONCATENATE(AC31,"_lose"))</f>
        <v>0</v>
      </c>
      <c r="AG31" s="162">
        <f>SUMIF(AZ9:AZ104,CONCATENATE("=",AC31),BA9:BA104)+SUMIF(AV9:AV104,CONCATENATE("=",AC31),AW9:AW104)</f>
        <v>12</v>
      </c>
      <c r="AH31" s="162">
        <f>SUMIF(BB9:BB104,CONCATENATE("=",AC31),BC9:BC104)+SUMIF(AX9:AX104,CONCATENATE("=",AC31),AY9:AY104)</f>
        <v>1</v>
      </c>
      <c r="AI31" s="162">
        <f>AD31*3+AE31</f>
        <v>12</v>
      </c>
      <c r="AJ31" s="162">
        <f>0.3+AG31+(AG31-AH31)*100+AD31*1000+AI31*10000000+AS31*10000</f>
        <v>120005112.3</v>
      </c>
      <c r="AK31" s="161">
        <f>IF(COUNTIF(AI30:AI33,CONCATENATE("=",AI31))=1,0,COUNTIF(AI30:AI33,CONCATENATE("=",AI31)))*AI31</f>
        <v>0</v>
      </c>
      <c r="AN31" s="162">
        <f>IF(AI31=AM30,1,0)</f>
        <v>0</v>
      </c>
      <c r="AO31" s="162">
        <f>COUNTIF(BF9:BG104,CONCATENATE(AC31,"_win"))</f>
        <v>0</v>
      </c>
      <c r="AP31" s="162">
        <f>SUMIF(BL9:BL104,CONCATENATE("=",AC31),BM9:BM104)*1.01+SUMIF(BH9:BH104,CONCATENATE("=",AC31),BI9:BI104)</f>
        <v>0</v>
      </c>
      <c r="AQ31" s="162">
        <f>SUMIF(BN9:BN104,CONCATENATE("=",AC31),BO9:BO104)+SUMIF(BJ9:BJ104,CONCATENATE("=",AC31),BK9:BK104)</f>
        <v>0</v>
      </c>
      <c r="AR31" s="161">
        <f>300*AO31+(AP31-AQ31)*10+AP31</f>
        <v>0</v>
      </c>
      <c r="AS31" s="161">
        <f>IF(AR31&gt;0,AR31,0)</f>
        <v>0</v>
      </c>
      <c r="AU31" s="161">
        <f>VLOOKUP(Y19,AC9:AN61,12,FALSE)+VLOOKUP(V19,AC9:AN61,12,FALSE)</f>
        <v>1</v>
      </c>
      <c r="AV31" s="161" t="str">
        <f t="shared" si="37"/>
        <v>FC København</v>
      </c>
      <c r="AW31" s="161">
        <f t="shared" si="38"/>
        <v>0</v>
      </c>
      <c r="AX31" s="161" t="str">
        <f t="shared" si="39"/>
        <v>FC København</v>
      </c>
      <c r="AY31" s="161">
        <f t="shared" si="40"/>
        <v>0</v>
      </c>
      <c r="AZ31" s="161" t="str">
        <f t="shared" si="41"/>
        <v>Real Madrid</v>
      </c>
      <c r="BA31" s="161">
        <f t="shared" si="42"/>
        <v>0</v>
      </c>
      <c r="BB31" s="161" t="str">
        <f t="shared" si="43"/>
        <v>Real Madrid</v>
      </c>
      <c r="BC31" s="161">
        <f t="shared" si="44"/>
        <v>0</v>
      </c>
      <c r="BD31" s="161" t="str">
        <f t="shared" si="45"/>
        <v/>
      </c>
      <c r="BE31" s="161" t="str">
        <f t="shared" si="46"/>
        <v/>
      </c>
      <c r="BF31" s="161" t="str">
        <f t="shared" si="47"/>
        <v/>
      </c>
      <c r="BG31" s="161" t="str">
        <f t="shared" si="48"/>
        <v/>
      </c>
      <c r="BH31" s="161" t="str">
        <f t="shared" si="15"/>
        <v/>
      </c>
      <c r="BI31" s="161" t="str">
        <f t="shared" si="16"/>
        <v/>
      </c>
      <c r="BJ31" s="161" t="str">
        <f t="shared" si="17"/>
        <v/>
      </c>
      <c r="BK31" s="161" t="str">
        <f t="shared" si="18"/>
        <v/>
      </c>
      <c r="BL31" s="161" t="str">
        <f t="shared" si="19"/>
        <v/>
      </c>
      <c r="BM31" s="161" t="str">
        <f t="shared" si="20"/>
        <v/>
      </c>
      <c r="BN31" s="161" t="str">
        <f t="shared" si="21"/>
        <v/>
      </c>
      <c r="BO31" s="161" t="str">
        <f t="shared" si="22"/>
        <v/>
      </c>
      <c r="BP31" s="161" t="s">
        <v>39</v>
      </c>
      <c r="BQ31" s="161">
        <v>11</v>
      </c>
      <c r="BU31" s="161">
        <f t="shared" ref="BU31:BV31" si="67">IF(RIGHT(BD43,3)="win",3,IF(RIGHT(BD43,3)="raw",1,IF(RIGHT(BD43,3)="ose",-1,0)))</f>
        <v>0</v>
      </c>
      <c r="BV31" s="161">
        <f t="shared" si="67"/>
        <v>0</v>
      </c>
      <c r="BW31" s="161">
        <f t="shared" ref="BW31:BX31" si="68">IF(RIGHT(BD55,3)="win",3,IF(RIGHT(BD55,3)="raw",1,IF(RIGHT(BD55,3)="ose",-1,0)))</f>
        <v>0</v>
      </c>
      <c r="BX31" s="161">
        <f t="shared" si="68"/>
        <v>0</v>
      </c>
    </row>
    <row r="32" spans="1:76" ht="16.5" customHeight="1" x14ac:dyDescent="0.2">
      <c r="A32" s="168"/>
      <c r="B32" s="149" t="str">
        <f>INDEX(T,26,langID)</f>
        <v>Dec</v>
      </c>
      <c r="C32" s="150">
        <v>10</v>
      </c>
      <c r="D32" s="150">
        <v>2013</v>
      </c>
      <c r="E32" s="151">
        <v>0.86458333333333337</v>
      </c>
      <c r="F32" s="142" t="str">
        <f>AC24</f>
        <v>Benfica</v>
      </c>
      <c r="G32" s="158"/>
      <c r="H32" s="159"/>
      <c r="I32" s="145" t="str">
        <f>AC23</f>
        <v>PSG</v>
      </c>
      <c r="J32" s="19"/>
      <c r="K32" s="25" t="str">
        <f>VLOOKUP(2,AB30:AI33,2,FALSE)</f>
        <v>CSKA Moskva</v>
      </c>
      <c r="L32" s="26">
        <f>VLOOKUP(2,AB30:AI33,3,FALSE)</f>
        <v>1</v>
      </c>
      <c r="M32" s="26">
        <f>VLOOKUP(2,AB30:AI33,4,FALSE)</f>
        <v>0</v>
      </c>
      <c r="N32" s="26">
        <f>VLOOKUP(2,AB30:AI33,5,FALSE)</f>
        <v>3</v>
      </c>
      <c r="O32" s="26" t="str">
        <f>CONCATENATE(VLOOKUP(2,AB30:AI33,6,FALSE)," - ",VLOOKUP(2,AB30:AI33,7,FALSE))</f>
        <v>6 - 12</v>
      </c>
      <c r="P32" s="27">
        <f>VLOOKUP(2,AB30:AI33,8,FALSE)</f>
        <v>3</v>
      </c>
      <c r="Q32" s="19"/>
      <c r="R32" s="149" t="str">
        <f t="shared" si="23"/>
        <v>Dec</v>
      </c>
      <c r="S32" s="150">
        <f t="shared" si="0"/>
        <v>10</v>
      </c>
      <c r="T32" s="150">
        <f t="shared" si="1"/>
        <v>2013</v>
      </c>
      <c r="U32" s="151">
        <f t="shared" si="2"/>
        <v>0.86458333333333337</v>
      </c>
      <c r="V32" s="142" t="str">
        <f>AC31</f>
        <v>Bayern München</v>
      </c>
      <c r="W32" s="158"/>
      <c r="X32" s="159"/>
      <c r="Y32" s="148" t="str">
        <f>AC30</f>
        <v>Manchester City</v>
      </c>
      <c r="Z32" s="180"/>
      <c r="AB32" s="160">
        <f>IF(AJ32&gt;AJ30,1,0)+IF(AJ32&gt;AJ31,1,0)+IF(AJ32&gt;AJ32,1,0)+IF(AJ32&gt;AJ33,1,0)+1</f>
        <v>2</v>
      </c>
      <c r="AC32" s="161" t="str">
        <f>INDEX(T,41,langID)</f>
        <v>CSKA Moskva</v>
      </c>
      <c r="AD32" s="162">
        <f>COUNTIF(BD9:BE104,CONCATENATE(AC32,"_win"))</f>
        <v>1</v>
      </c>
      <c r="AE32" s="162">
        <f>COUNTIF(BD9:BE104,CONCATENATE(AC32,"_draw"))</f>
        <v>0</v>
      </c>
      <c r="AF32" s="162">
        <f>COUNTIF(BD9:BE104,CONCATENATE(AC32,"_lose"))</f>
        <v>3</v>
      </c>
      <c r="AG32" s="162">
        <f>SUMIF(AZ9:AZ104,CONCATENATE("=",AC32),BA9:BA104)+SUMIF(AV9:AV104,CONCATENATE("=",AC32),AW9:AW104)</f>
        <v>6</v>
      </c>
      <c r="AH32" s="162">
        <f>SUMIF(BB9:BB104,CONCATENATE("=",AC32),BC9:BC104)+SUMIF(AX9:AX104,CONCATENATE("=",AC32),AY9:AY104)</f>
        <v>12</v>
      </c>
      <c r="AI32" s="162">
        <f>AD32*3+AE32</f>
        <v>3</v>
      </c>
      <c r="AJ32" s="162">
        <f>0.2+AG32+(AG32-AH32)*100+AD32*1000+AI32*10000000+AS32*10000</f>
        <v>30000406.199999999</v>
      </c>
      <c r="AK32" s="161">
        <f>IF(COUNTIF(AI30:AI33,CONCATENATE("=",AI32))=1,0,COUNTIF(AI30:AI33,CONCATENATE("=",AI32)))*AI32</f>
        <v>0</v>
      </c>
      <c r="AN32" s="162">
        <f>IF(AI32=AM30,1,0)</f>
        <v>0</v>
      </c>
      <c r="AO32" s="162">
        <f>COUNTIF(BF9:BG104,CONCATENATE(AC32,"_win"))</f>
        <v>0</v>
      </c>
      <c r="AP32" s="162">
        <f>SUMIF(BL9:BL104,CONCATENATE("=",AC32),BM9:BM104)*1.01+SUMIF(BH9:BH104,CONCATENATE("=",AC32),BI9:BI104)</f>
        <v>0</v>
      </c>
      <c r="AQ32" s="162">
        <f>SUMIF(BN9:BN104,CONCATENATE("=",AC32),BO9:BO104)+SUMIF(BJ9:BJ104,CONCATENATE("=",AC32),BK9:BK104)</f>
        <v>0</v>
      </c>
      <c r="AR32" s="161">
        <f>300*AO32+(AP32-AQ32)*10+AP32</f>
        <v>0</v>
      </c>
      <c r="AS32" s="161">
        <f>IF(AR32&gt;0,AR32,0)</f>
        <v>0</v>
      </c>
      <c r="AU32" s="161">
        <f>VLOOKUP(Y20,AC9:AN61,12,FALSE)+VLOOKUP(V20,AC9:AN61,12,FALSE)</f>
        <v>1</v>
      </c>
      <c r="AV32" s="161" t="str">
        <f t="shared" si="37"/>
        <v>Galatasaray</v>
      </c>
      <c r="AW32" s="161">
        <f t="shared" si="38"/>
        <v>0</v>
      </c>
      <c r="AX32" s="161" t="str">
        <f t="shared" si="39"/>
        <v>Galatasaray</v>
      </c>
      <c r="AY32" s="161">
        <f t="shared" si="40"/>
        <v>0</v>
      </c>
      <c r="AZ32" s="161" t="str">
        <f t="shared" si="41"/>
        <v>Juventus</v>
      </c>
      <c r="BA32" s="161">
        <f t="shared" si="42"/>
        <v>0</v>
      </c>
      <c r="BB32" s="161" t="str">
        <f t="shared" si="43"/>
        <v>Juventus</v>
      </c>
      <c r="BC32" s="161">
        <f t="shared" si="44"/>
        <v>0</v>
      </c>
      <c r="BD32" s="161" t="str">
        <f t="shared" si="45"/>
        <v/>
      </c>
      <c r="BE32" s="161" t="str">
        <f t="shared" si="46"/>
        <v/>
      </c>
      <c r="BF32" s="161" t="str">
        <f t="shared" si="47"/>
        <v/>
      </c>
      <c r="BG32" s="161" t="str">
        <f t="shared" si="48"/>
        <v/>
      </c>
      <c r="BH32" s="161" t="str">
        <f t="shared" si="15"/>
        <v/>
      </c>
      <c r="BI32" s="161" t="str">
        <f t="shared" si="16"/>
        <v/>
      </c>
      <c r="BJ32" s="161" t="str">
        <f t="shared" si="17"/>
        <v/>
      </c>
      <c r="BK32" s="161" t="str">
        <f t="shared" si="18"/>
        <v/>
      </c>
      <c r="BL32" s="161" t="str">
        <f t="shared" si="19"/>
        <v/>
      </c>
      <c r="BM32" s="161" t="str">
        <f t="shared" si="20"/>
        <v/>
      </c>
      <c r="BN32" s="161" t="str">
        <f t="shared" si="21"/>
        <v/>
      </c>
      <c r="BO32" s="161" t="str">
        <f t="shared" si="22"/>
        <v/>
      </c>
      <c r="BP32" s="161" t="s">
        <v>40</v>
      </c>
      <c r="BQ32" s="161">
        <v>12</v>
      </c>
      <c r="BU32" s="161">
        <f t="shared" ref="BU32:BV32" si="69">IF(RIGHT(BD44,3)="win",3,IF(RIGHT(BD44,3)="raw",1,IF(RIGHT(BD44,3)="ose",-1,0)))</f>
        <v>0</v>
      </c>
      <c r="BV32" s="161">
        <f t="shared" si="69"/>
        <v>0</v>
      </c>
      <c r="BW32" s="161">
        <f t="shared" ref="BW32:BX32" si="70">IF(RIGHT(BD56,3)="win",3,IF(RIGHT(BD56,3)="raw",1,IF(RIGHT(BD56,3)="ose",-1,0)))</f>
        <v>0</v>
      </c>
      <c r="BX32" s="161">
        <f t="shared" si="70"/>
        <v>0</v>
      </c>
    </row>
    <row r="33" spans="1:76" ht="16.5" customHeight="1" x14ac:dyDescent="0.2">
      <c r="A33" s="166" t="str">
        <f>INDEX(T,4,langID) &amp; " E"</f>
        <v>Group E</v>
      </c>
      <c r="B33" s="133" t="str">
        <f>INDEX(T,23,langID)</f>
        <v>Sep</v>
      </c>
      <c r="C33" s="134">
        <v>18</v>
      </c>
      <c r="D33" s="134">
        <v>2013</v>
      </c>
      <c r="E33" s="135">
        <v>0.86458333333333337</v>
      </c>
      <c r="F33" s="143" t="str">
        <f>AC40</f>
        <v>Chelsea</v>
      </c>
      <c r="G33" s="154">
        <v>1</v>
      </c>
      <c r="H33" s="155">
        <v>2</v>
      </c>
      <c r="I33" s="144" t="str">
        <f>AC37</f>
        <v>Basel</v>
      </c>
      <c r="J33" s="19"/>
      <c r="K33" s="31" t="str">
        <f>VLOOKUP(1,AB30:AI33,2,FALSE)</f>
        <v>Viktoria Plzeň</v>
      </c>
      <c r="L33" s="32">
        <f>VLOOKUP(1,AB30:AI33,3,FALSE)</f>
        <v>0</v>
      </c>
      <c r="M33" s="32">
        <f>VLOOKUP(1,AB30:AI33,4,FALSE)</f>
        <v>0</v>
      </c>
      <c r="N33" s="32">
        <f>VLOOKUP(1,AB30:AI33,5,FALSE)</f>
        <v>4</v>
      </c>
      <c r="O33" s="32" t="str">
        <f>CONCATENATE(VLOOKUP(1,AB30:AI33,6,FALSE)," - ",VLOOKUP(1,AB30:AI33,7,FALSE))</f>
        <v>2 - 12</v>
      </c>
      <c r="P33" s="33">
        <f>VLOOKUP(1,AB30:AI33,8,FALSE)</f>
        <v>0</v>
      </c>
      <c r="Q33" s="19"/>
      <c r="R33" s="133" t="str">
        <f t="shared" si="23"/>
        <v>Sep</v>
      </c>
      <c r="S33" s="134">
        <f t="shared" si="0"/>
        <v>18</v>
      </c>
      <c r="T33" s="134">
        <f t="shared" si="1"/>
        <v>2013</v>
      </c>
      <c r="U33" s="135">
        <f t="shared" si="2"/>
        <v>0.86458333333333337</v>
      </c>
      <c r="V33" s="143" t="str">
        <f>AC47</f>
        <v>Napoli</v>
      </c>
      <c r="W33" s="154">
        <v>2</v>
      </c>
      <c r="X33" s="155">
        <v>1</v>
      </c>
      <c r="Y33" s="146" t="str">
        <f>AC44</f>
        <v>Borussia Dortmund</v>
      </c>
      <c r="Z33" s="178" t="str">
        <f>INDEX(T,4,langID) &amp; " F"</f>
        <v>Group F</v>
      </c>
      <c r="AB33" s="160">
        <f>IF(AJ33&gt;AJ30,1,0)+IF(AJ33&gt;AJ31,1,0)+IF(AJ33&gt;AJ32,1,0)+IF(AJ33&gt;AJ33,1,0)+1</f>
        <v>1</v>
      </c>
      <c r="AC33" s="161" t="str">
        <f>INDEX(T,42,langID)</f>
        <v>Viktoria Plzeň</v>
      </c>
      <c r="AD33" s="162">
        <f>COUNTIF(BD9:BE104,CONCATENATE(AC33,"_win"))</f>
        <v>0</v>
      </c>
      <c r="AE33" s="162">
        <f>COUNTIF(BD9:BE104,CONCATENATE(AC33,"_draw"))</f>
        <v>0</v>
      </c>
      <c r="AF33" s="162">
        <f>COUNTIF(BD9:BE104,CONCATENATE(AC33,"_lose"))</f>
        <v>4</v>
      </c>
      <c r="AG33" s="162">
        <f>SUMIF(AZ9:AZ104,CONCATENATE("=",AC33),BA9:BA104)+SUMIF(AV9:AV104,CONCATENATE("=",AC33),AW9:AW104)</f>
        <v>2</v>
      </c>
      <c r="AH33" s="162">
        <f>SUMIF(BB9:BB104,CONCATENATE("=",AC33),BC9:BC104)+SUMIF(AX9:AX104,CONCATENATE("=",AC33),AY9:AY104)</f>
        <v>12</v>
      </c>
      <c r="AI33" s="162">
        <f>AD33*3+AE33</f>
        <v>0</v>
      </c>
      <c r="AJ33" s="162">
        <f>0.1+AG33+(AG33-AH33)*100+AD33*1000+AI33*10000000+AS33*10000</f>
        <v>-997.9</v>
      </c>
      <c r="AK33" s="161">
        <f>IF(COUNTIF(AI30:AI33,CONCATENATE("=",AI33))=1,0,COUNTIF(AI30:AI33,CONCATENATE("=",AI33)))*AI33</f>
        <v>0</v>
      </c>
      <c r="AN33" s="162">
        <f>IF(AI33=AM30,1,0)</f>
        <v>0</v>
      </c>
      <c r="AO33" s="162">
        <f>COUNTIF(BF9:BG104,CONCATENATE(AC33,"_win"))</f>
        <v>0</v>
      </c>
      <c r="AP33" s="162">
        <f>SUMIF(BL9:BL104,CONCATENATE("=",AC33),BM9:BM104)*1.01+SUMIF(BH9:BH104,CONCATENATE("=",AC33),BI9:BI104)</f>
        <v>0</v>
      </c>
      <c r="AQ33" s="162">
        <f>SUMIF(BN9:BN104,CONCATENATE("=",AC33),BO9:BO104)+SUMIF(BJ9:BJ104,CONCATENATE("=",AC33),BK9:BK104)</f>
        <v>0</v>
      </c>
      <c r="AR33" s="161">
        <f>300*AO33+(AP33-AQ33)*10+AP33</f>
        <v>0</v>
      </c>
      <c r="AS33" s="161">
        <f>IF(AR33&gt;0,AR33,0)</f>
        <v>0</v>
      </c>
      <c r="AU33" s="161">
        <f>VLOOKUP(I21,AC9:AN61,12,FALSE)+VLOOKUP(F21,AC9:AN61,12,FALSE)</f>
        <v>1</v>
      </c>
      <c r="AV33" s="161" t="str">
        <f t="shared" ref="AV33:AV44" si="71">F21</f>
        <v>Olympiacos</v>
      </c>
      <c r="AW33" s="161">
        <f t="shared" ref="AW33:AW44" si="72">G21</f>
        <v>1</v>
      </c>
      <c r="AX33" s="161" t="str">
        <f t="shared" ref="AX33:AX44" si="73">F21</f>
        <v>Olympiacos</v>
      </c>
      <c r="AY33" s="161">
        <f t="shared" ref="AY33:AY44" si="74">H21</f>
        <v>4</v>
      </c>
      <c r="AZ33" s="161" t="str">
        <f t="shared" ref="AZ33:AZ44" si="75">I21</f>
        <v>PSG</v>
      </c>
      <c r="BA33" s="161">
        <f t="shared" ref="BA33:BA44" si="76">H21</f>
        <v>4</v>
      </c>
      <c r="BB33" s="161" t="str">
        <f t="shared" ref="BB33:BB44" si="77">I21</f>
        <v>PSG</v>
      </c>
      <c r="BC33" s="161">
        <f t="shared" ref="BC33:BC44" si="78">G21</f>
        <v>1</v>
      </c>
      <c r="BD33" s="161" t="str">
        <f t="shared" ref="BD33:BD44" si="79">IF(G21="","",IF(H21="","",IF(G21&gt;H21,CONCATENATE(F21,"_win"),IF(G21&lt;H21,CONCATENATE(F21,"_lose"),CONCATENATE(F21,"_draw")))))</f>
        <v>Olympiacos_lose</v>
      </c>
      <c r="BE33" s="161" t="str">
        <f t="shared" ref="BE33:BE44" si="80">IF(G21="","",IF(H21="","",IF(G21&gt;H21,CONCATENATE(I21,"_lose"),IF(G21&lt;H21,CONCATENATE(I21,"_win"),CONCATENATE(I21,"_draw")))))</f>
        <v>PSG_win</v>
      </c>
      <c r="BF33" s="161" t="str">
        <f t="shared" ref="BF33:BF44" si="81">IF(AU33=2,IF(G21="","",IF(H21="","",IF(G21&gt;H21,CONCATENATE(F21,"_win"),IF(G21&lt;H21,CONCATENATE(F21,"_lose"),CONCATENATE(F21,"_draw"))))),"")</f>
        <v/>
      </c>
      <c r="BG33" s="161" t="str">
        <f t="shared" ref="BG33:BG44" si="82">IF(AU33=2,IF(G21="","",IF(H21="","",IF(G21&gt;H21,CONCATENATE(I21,"_lose"),IF(G21&lt;H21,CONCATENATE(I21,"_win"),CONCATENATE(I21,"_draw"))))),"")</f>
        <v/>
      </c>
      <c r="BH33" s="161" t="str">
        <f t="shared" si="15"/>
        <v/>
      </c>
      <c r="BI33" s="161" t="str">
        <f t="shared" si="16"/>
        <v/>
      </c>
      <c r="BJ33" s="161" t="str">
        <f t="shared" si="17"/>
        <v/>
      </c>
      <c r="BK33" s="161" t="str">
        <f t="shared" si="18"/>
        <v/>
      </c>
      <c r="BL33" s="161" t="str">
        <f t="shared" si="19"/>
        <v/>
      </c>
      <c r="BM33" s="161" t="str">
        <f t="shared" si="20"/>
        <v/>
      </c>
      <c r="BN33" s="161" t="str">
        <f t="shared" si="21"/>
        <v/>
      </c>
      <c r="BO33" s="161" t="str">
        <f t="shared" si="22"/>
        <v/>
      </c>
      <c r="BU33" s="161">
        <f>IF(RIGHT(BD57,3)="win",3,IF(RIGHT(BD57,3)="raw",1,IF(RIGHT(BD57,3)="ose",-1,0)))</f>
        <v>-1</v>
      </c>
      <c r="BV33" s="161">
        <f>IF(RIGHT(BE57,3)="win",3,IF(RIGHT(BE57,3)="raw",1,IF(RIGHT(BE57,3)="ose",-1,0)))</f>
        <v>3</v>
      </c>
      <c r="BW33" s="161">
        <f>IF(RIGHT(BD69,3)="win",3,IF(RIGHT(BD69,3)="raw",1,IF(RIGHT(BD69,3)="ose",-1,0)))</f>
        <v>3</v>
      </c>
      <c r="BX33" s="161">
        <f>IF(RIGHT(BE69,3)="win",3,IF(RIGHT(BE69,3)="raw",1,IF(RIGHT(BE69,3)="ose",-1,0)))</f>
        <v>-1</v>
      </c>
    </row>
    <row r="34" spans="1:76" ht="16.5" customHeight="1" x14ac:dyDescent="0.2">
      <c r="A34" s="167"/>
      <c r="B34" s="136" t="str">
        <f>INDEX(T,23,langID)</f>
        <v>Sep</v>
      </c>
      <c r="C34" s="137">
        <v>18</v>
      </c>
      <c r="D34" s="137">
        <v>2013</v>
      </c>
      <c r="E34" s="138">
        <v>0.86458333333333337</v>
      </c>
      <c r="F34" s="140" t="str">
        <f>AC38</f>
        <v>Schalke</v>
      </c>
      <c r="G34" s="156">
        <v>3</v>
      </c>
      <c r="H34" s="157">
        <v>0</v>
      </c>
      <c r="I34" s="139" t="str">
        <f>AC39</f>
        <v>Steaua Bucureşti</v>
      </c>
      <c r="J34" s="19"/>
      <c r="K34" s="19"/>
      <c r="L34" s="34"/>
      <c r="M34" s="34"/>
      <c r="N34" s="34"/>
      <c r="O34" s="34"/>
      <c r="P34" s="34"/>
      <c r="Q34" s="19"/>
      <c r="R34" s="136" t="str">
        <f t="shared" si="23"/>
        <v>Sep</v>
      </c>
      <c r="S34" s="137">
        <f t="shared" si="0"/>
        <v>18</v>
      </c>
      <c r="T34" s="137">
        <f t="shared" si="1"/>
        <v>2013</v>
      </c>
      <c r="U34" s="138">
        <f t="shared" si="2"/>
        <v>0.86458333333333337</v>
      </c>
      <c r="V34" s="140" t="str">
        <f>AC45</f>
        <v>Olympique de Marseille</v>
      </c>
      <c r="W34" s="156">
        <v>1</v>
      </c>
      <c r="X34" s="157">
        <v>2</v>
      </c>
      <c r="Y34" s="147" t="str">
        <f>AC46</f>
        <v>Arsenal</v>
      </c>
      <c r="Z34" s="179"/>
      <c r="AK34" s="161">
        <f>MAX(AK30:AK33)</f>
        <v>0</v>
      </c>
      <c r="AU34" s="161">
        <f>VLOOKUP(I22,AC9:AN61,12,FALSE)+VLOOKUP(F22,AC9:AN61,12,FALSE)</f>
        <v>0</v>
      </c>
      <c r="AV34" s="161" t="str">
        <f t="shared" si="71"/>
        <v>Benfica</v>
      </c>
      <c r="AW34" s="161">
        <f t="shared" si="72"/>
        <v>2</v>
      </c>
      <c r="AX34" s="161" t="str">
        <f t="shared" si="73"/>
        <v>Benfica</v>
      </c>
      <c r="AY34" s="161">
        <f t="shared" si="74"/>
        <v>0</v>
      </c>
      <c r="AZ34" s="161" t="str">
        <f t="shared" si="75"/>
        <v>Anderlecht</v>
      </c>
      <c r="BA34" s="161">
        <f t="shared" si="76"/>
        <v>0</v>
      </c>
      <c r="BB34" s="161" t="str">
        <f t="shared" si="77"/>
        <v>Anderlecht</v>
      </c>
      <c r="BC34" s="161">
        <f t="shared" si="78"/>
        <v>2</v>
      </c>
      <c r="BD34" s="161" t="str">
        <f t="shared" si="79"/>
        <v>Benfica_win</v>
      </c>
      <c r="BE34" s="161" t="str">
        <f t="shared" si="80"/>
        <v>Anderlecht_lose</v>
      </c>
      <c r="BF34" s="161" t="str">
        <f t="shared" si="81"/>
        <v/>
      </c>
      <c r="BG34" s="161" t="str">
        <f t="shared" si="82"/>
        <v/>
      </c>
      <c r="BH34" s="161" t="str">
        <f t="shared" si="15"/>
        <v/>
      </c>
      <c r="BI34" s="161" t="str">
        <f t="shared" si="16"/>
        <v/>
      </c>
      <c r="BJ34" s="161" t="str">
        <f t="shared" si="17"/>
        <v/>
      </c>
      <c r="BK34" s="161" t="str">
        <f t="shared" si="18"/>
        <v/>
      </c>
      <c r="BL34" s="161" t="str">
        <f t="shared" si="19"/>
        <v/>
      </c>
      <c r="BM34" s="161" t="str">
        <f t="shared" si="20"/>
        <v/>
      </c>
      <c r="BN34" s="161" t="str">
        <f t="shared" si="21"/>
        <v/>
      </c>
      <c r="BO34" s="161" t="str">
        <f t="shared" si="22"/>
        <v/>
      </c>
      <c r="BU34" s="161">
        <f t="shared" ref="BU34:BV34" si="83">IF(RIGHT(BD58,3)="win",3,IF(RIGHT(BD58,3)="raw",1,IF(RIGHT(BD58,3)="ose",-1,0)))</f>
        <v>3</v>
      </c>
      <c r="BV34" s="161">
        <f t="shared" si="83"/>
        <v>-1</v>
      </c>
      <c r="BW34" s="161">
        <f t="shared" ref="BW34:BX34" si="84">IF(RIGHT(BD70,3)="win",3,IF(RIGHT(BD70,3)="raw",1,IF(RIGHT(BD70,3)="ose",-1,0)))</f>
        <v>-1</v>
      </c>
      <c r="BX34" s="161">
        <f t="shared" si="84"/>
        <v>3</v>
      </c>
    </row>
    <row r="35" spans="1:76" ht="16.5" customHeight="1" x14ac:dyDescent="0.2">
      <c r="A35" s="167"/>
      <c r="B35" s="136" t="str">
        <f>INDEX(T,24,langID)</f>
        <v>Oct</v>
      </c>
      <c r="C35" s="137">
        <v>1</v>
      </c>
      <c r="D35" s="137">
        <v>2013</v>
      </c>
      <c r="E35" s="138">
        <v>0.86458333333333337</v>
      </c>
      <c r="F35" s="140" t="str">
        <f>AC39</f>
        <v>Steaua Bucureşti</v>
      </c>
      <c r="G35" s="156">
        <v>0</v>
      </c>
      <c r="H35" s="157">
        <v>4</v>
      </c>
      <c r="I35" s="139" t="str">
        <f>AC40</f>
        <v>Chelsea</v>
      </c>
      <c r="J35" s="19"/>
      <c r="K35" s="173" t="str">
        <f>INDEX(T,4,langID) &amp; " E"</f>
        <v>Group E</v>
      </c>
      <c r="L35" s="175" t="str">
        <f>INDEX(T,7,langID)</f>
        <v>Win</v>
      </c>
      <c r="M35" s="175" t="str">
        <f>INDEX(T,8,langID)</f>
        <v>Draw</v>
      </c>
      <c r="N35" s="175" t="str">
        <f>INDEX(T,9,langID)</f>
        <v>Lose</v>
      </c>
      <c r="O35" s="175" t="str">
        <f>INDEX(T,10,langID)</f>
        <v>F - A</v>
      </c>
      <c r="P35" s="189" t="str">
        <f>INDEX(T,11,langID)</f>
        <v>Pts</v>
      </c>
      <c r="Q35" s="19"/>
      <c r="R35" s="136" t="str">
        <f t="shared" si="23"/>
        <v>Oct</v>
      </c>
      <c r="S35" s="137">
        <f t="shared" si="0"/>
        <v>1</v>
      </c>
      <c r="T35" s="137">
        <f t="shared" si="1"/>
        <v>2013</v>
      </c>
      <c r="U35" s="138">
        <f t="shared" si="2"/>
        <v>0.86458333333333337</v>
      </c>
      <c r="V35" s="140" t="str">
        <f>AC46</f>
        <v>Arsenal</v>
      </c>
      <c r="W35" s="156">
        <v>2</v>
      </c>
      <c r="X35" s="157">
        <v>0</v>
      </c>
      <c r="Y35" s="147" t="str">
        <f>AC47</f>
        <v>Napoli</v>
      </c>
      <c r="Z35" s="179"/>
      <c r="AU35" s="161">
        <f>VLOOKUP(I23,AC9:AN61,12,FALSE)+VLOOKUP(F23,AC9:AN61,12,FALSE)</f>
        <v>0</v>
      </c>
      <c r="AV35" s="161" t="str">
        <f t="shared" si="71"/>
        <v>Anderlecht</v>
      </c>
      <c r="AW35" s="161">
        <f t="shared" si="72"/>
        <v>0</v>
      </c>
      <c r="AX35" s="161" t="str">
        <f t="shared" si="73"/>
        <v>Anderlecht</v>
      </c>
      <c r="AY35" s="161">
        <f t="shared" si="74"/>
        <v>3</v>
      </c>
      <c r="AZ35" s="161" t="str">
        <f t="shared" si="75"/>
        <v>Olympiacos</v>
      </c>
      <c r="BA35" s="161">
        <f t="shared" si="76"/>
        <v>3</v>
      </c>
      <c r="BB35" s="161" t="str">
        <f t="shared" si="77"/>
        <v>Olympiacos</v>
      </c>
      <c r="BC35" s="161">
        <f t="shared" si="78"/>
        <v>0</v>
      </c>
      <c r="BD35" s="161" t="str">
        <f t="shared" si="79"/>
        <v>Anderlecht_lose</v>
      </c>
      <c r="BE35" s="161" t="str">
        <f t="shared" si="80"/>
        <v>Olympiacos_win</v>
      </c>
      <c r="BF35" s="161" t="str">
        <f t="shared" si="81"/>
        <v/>
      </c>
      <c r="BG35" s="161" t="str">
        <f t="shared" si="82"/>
        <v/>
      </c>
      <c r="BH35" s="161" t="str">
        <f t="shared" si="15"/>
        <v/>
      </c>
      <c r="BI35" s="161" t="str">
        <f t="shared" si="16"/>
        <v/>
      </c>
      <c r="BJ35" s="161" t="str">
        <f t="shared" si="17"/>
        <v/>
      </c>
      <c r="BK35" s="161" t="str">
        <f t="shared" si="18"/>
        <v/>
      </c>
      <c r="BL35" s="161" t="str">
        <f t="shared" si="19"/>
        <v/>
      </c>
      <c r="BM35" s="161" t="str">
        <f t="shared" si="20"/>
        <v/>
      </c>
      <c r="BN35" s="161" t="str">
        <f t="shared" si="21"/>
        <v/>
      </c>
      <c r="BO35" s="161" t="str">
        <f t="shared" si="22"/>
        <v/>
      </c>
      <c r="BU35" s="161">
        <f t="shared" ref="BU35:BV35" si="85">IF(RIGHT(BD59,3)="win",3,IF(RIGHT(BD59,3)="raw",1,IF(RIGHT(BD59,3)="ose",-1,0)))</f>
        <v>-1</v>
      </c>
      <c r="BV35" s="161">
        <f t="shared" si="85"/>
        <v>3</v>
      </c>
      <c r="BW35" s="161">
        <f t="shared" ref="BW35:BX35" si="86">IF(RIGHT(BD71,3)="win",3,IF(RIGHT(BD71,3)="raw",1,IF(RIGHT(BD71,3)="ose",-1,0)))</f>
        <v>3</v>
      </c>
      <c r="BX35" s="161">
        <f t="shared" si="86"/>
        <v>-1</v>
      </c>
    </row>
    <row r="36" spans="1:76" ht="16.5" customHeight="1" x14ac:dyDescent="0.2">
      <c r="A36" s="167"/>
      <c r="B36" s="136" t="str">
        <f>INDEX(T,24,langID)</f>
        <v>Oct</v>
      </c>
      <c r="C36" s="137">
        <v>1</v>
      </c>
      <c r="D36" s="137">
        <v>2013</v>
      </c>
      <c r="E36" s="138">
        <v>0.86458333333333337</v>
      </c>
      <c r="F36" s="140" t="str">
        <f>AC37</f>
        <v>Basel</v>
      </c>
      <c r="G36" s="156">
        <v>0</v>
      </c>
      <c r="H36" s="157">
        <v>1</v>
      </c>
      <c r="I36" s="139" t="str">
        <f>AC38</f>
        <v>Schalke</v>
      </c>
      <c r="J36" s="19"/>
      <c r="K36" s="174"/>
      <c r="L36" s="176"/>
      <c r="M36" s="176"/>
      <c r="N36" s="176"/>
      <c r="O36" s="176"/>
      <c r="P36" s="190"/>
      <c r="Q36" s="19"/>
      <c r="R36" s="136" t="str">
        <f t="shared" si="23"/>
        <v>Oct</v>
      </c>
      <c r="S36" s="137">
        <f t="shared" si="0"/>
        <v>1</v>
      </c>
      <c r="T36" s="137">
        <f t="shared" si="1"/>
        <v>2013</v>
      </c>
      <c r="U36" s="138">
        <f t="shared" si="2"/>
        <v>0.86458333333333337</v>
      </c>
      <c r="V36" s="140" t="str">
        <f>AC44</f>
        <v>Borussia Dortmund</v>
      </c>
      <c r="W36" s="156">
        <v>3</v>
      </c>
      <c r="X36" s="157">
        <v>0</v>
      </c>
      <c r="Y36" s="147" t="str">
        <f>AC45</f>
        <v>Olympique de Marseille</v>
      </c>
      <c r="Z36" s="179"/>
      <c r="AU36" s="161">
        <f>VLOOKUP(I24,AC9:AN61,12,FALSE)+VLOOKUP(F24,AC9:AN61,12,FALSE)</f>
        <v>1</v>
      </c>
      <c r="AV36" s="161" t="str">
        <f t="shared" si="71"/>
        <v>PSG</v>
      </c>
      <c r="AW36" s="161">
        <f t="shared" si="72"/>
        <v>3</v>
      </c>
      <c r="AX36" s="161" t="str">
        <f t="shared" si="73"/>
        <v>PSG</v>
      </c>
      <c r="AY36" s="161">
        <f t="shared" si="74"/>
        <v>0</v>
      </c>
      <c r="AZ36" s="161" t="str">
        <f t="shared" si="75"/>
        <v>Benfica</v>
      </c>
      <c r="BA36" s="161">
        <f t="shared" si="76"/>
        <v>0</v>
      </c>
      <c r="BB36" s="161" t="str">
        <f t="shared" si="77"/>
        <v>Benfica</v>
      </c>
      <c r="BC36" s="161">
        <f t="shared" si="78"/>
        <v>3</v>
      </c>
      <c r="BD36" s="161" t="str">
        <f t="shared" si="79"/>
        <v>PSG_win</v>
      </c>
      <c r="BE36" s="161" t="str">
        <f t="shared" si="80"/>
        <v>Benfica_lose</v>
      </c>
      <c r="BF36" s="161" t="str">
        <f t="shared" si="81"/>
        <v/>
      </c>
      <c r="BG36" s="161" t="str">
        <f t="shared" si="82"/>
        <v/>
      </c>
      <c r="BH36" s="161" t="str">
        <f t="shared" si="15"/>
        <v/>
      </c>
      <c r="BI36" s="161" t="str">
        <f t="shared" si="16"/>
        <v/>
      </c>
      <c r="BJ36" s="161" t="str">
        <f t="shared" si="17"/>
        <v/>
      </c>
      <c r="BK36" s="161" t="str">
        <f t="shared" si="18"/>
        <v/>
      </c>
      <c r="BL36" s="161" t="str">
        <f t="shared" si="19"/>
        <v/>
      </c>
      <c r="BM36" s="161" t="str">
        <f t="shared" si="20"/>
        <v/>
      </c>
      <c r="BN36" s="161" t="str">
        <f t="shared" si="21"/>
        <v/>
      </c>
      <c r="BO36" s="161" t="str">
        <f t="shared" si="22"/>
        <v/>
      </c>
      <c r="BU36" s="161">
        <f t="shared" ref="BU36:BV36" si="87">IF(RIGHT(BD60,3)="win",3,IF(RIGHT(BD60,3)="raw",1,IF(RIGHT(BD60,3)="ose",-1,0)))</f>
        <v>-1</v>
      </c>
      <c r="BV36" s="161">
        <f t="shared" si="87"/>
        <v>3</v>
      </c>
      <c r="BW36" s="161">
        <f t="shared" ref="BW36:BX36" si="88">IF(RIGHT(BD72,3)="win",3,IF(RIGHT(BD72,3)="raw",1,IF(RIGHT(BD72,3)="ose",-1,0)))</f>
        <v>3</v>
      </c>
      <c r="BX36" s="161">
        <f t="shared" si="88"/>
        <v>-1</v>
      </c>
    </row>
    <row r="37" spans="1:76" ht="16.5" customHeight="1" x14ac:dyDescent="0.2">
      <c r="A37" s="167"/>
      <c r="B37" s="136" t="str">
        <f>INDEX(T,24,langID)</f>
        <v>Oct</v>
      </c>
      <c r="C37" s="137">
        <v>22</v>
      </c>
      <c r="D37" s="137">
        <v>2013</v>
      </c>
      <c r="E37" s="138">
        <v>0.86458333333333337</v>
      </c>
      <c r="F37" s="140" t="str">
        <f>AC39</f>
        <v>Steaua Bucureşti</v>
      </c>
      <c r="G37" s="156">
        <v>1</v>
      </c>
      <c r="H37" s="157">
        <v>1</v>
      </c>
      <c r="I37" s="139" t="str">
        <f>AC37</f>
        <v>Basel</v>
      </c>
      <c r="J37" s="19"/>
      <c r="K37" s="22" t="str">
        <f>VLOOKUP(4,AB37:AI40,2,FALSE)</f>
        <v>Chelsea</v>
      </c>
      <c r="L37" s="23">
        <f>VLOOKUP(4,AB37:AI40,3,FALSE)</f>
        <v>3</v>
      </c>
      <c r="M37" s="23">
        <f>VLOOKUP(4,AB37:AI40,4,FALSE)</f>
        <v>0</v>
      </c>
      <c r="N37" s="23">
        <f>VLOOKUP(4,AB37:AI40,5,FALSE)</f>
        <v>1</v>
      </c>
      <c r="O37" s="23" t="str">
        <f>CONCATENATE(VLOOKUP(4,AB37:AI40,6,FALSE)," - ",VLOOKUP(4,AB37:AI40,7,FALSE))</f>
        <v>11 - 2</v>
      </c>
      <c r="P37" s="24">
        <f>VLOOKUP(4,AB37:AI40,8,FALSE)</f>
        <v>9</v>
      </c>
      <c r="Q37" s="19"/>
      <c r="R37" s="136" t="str">
        <f t="shared" si="23"/>
        <v>Oct</v>
      </c>
      <c r="S37" s="137">
        <f t="shared" si="0"/>
        <v>22</v>
      </c>
      <c r="T37" s="137">
        <f t="shared" si="1"/>
        <v>2013</v>
      </c>
      <c r="U37" s="138">
        <f t="shared" si="2"/>
        <v>0.86458333333333337</v>
      </c>
      <c r="V37" s="140" t="str">
        <f>AC46</f>
        <v>Arsenal</v>
      </c>
      <c r="W37" s="156">
        <v>1</v>
      </c>
      <c r="X37" s="157">
        <v>2</v>
      </c>
      <c r="Y37" s="147" t="str">
        <f>AC44</f>
        <v>Borussia Dortmund</v>
      </c>
      <c r="Z37" s="179"/>
      <c r="AB37" s="160">
        <f>IF(AJ37&gt;AJ37,1,0)+IF(AJ37&gt;AJ38,1,0)+IF(AJ37&gt;AJ39,1,0)+IF(AJ37&gt;AJ40,1,0)+1</f>
        <v>2</v>
      </c>
      <c r="AC37" s="161" t="str">
        <f>INDEX(T,43,langID)</f>
        <v>Basel</v>
      </c>
      <c r="AD37" s="162">
        <f>COUNTIF(BD9:BE104,CONCATENATE(AC37,"_win"))</f>
        <v>1</v>
      </c>
      <c r="AE37" s="162">
        <f>COUNTIF(BD9:BE104,CONCATENATE(AC37,"_draw"))</f>
        <v>2</v>
      </c>
      <c r="AF37" s="162">
        <f>COUNTIF(BD9:BE104,CONCATENATE(AC37,"_lose"))</f>
        <v>1</v>
      </c>
      <c r="AG37" s="162">
        <f>SUMIF(AZ9:AZ104,CONCATENATE("=",AC37),BA9:BA104)+SUMIF(AV9:AV104,CONCATENATE("=",AC37),AW9:AW104)</f>
        <v>4</v>
      </c>
      <c r="AH37" s="162">
        <f>SUMIF(BB9:BB104,CONCATENATE("=",AC37),BC9:BC104)+SUMIF(AX9:AX104,CONCATENATE("=",AC37),AY9:AY104)</f>
        <v>4</v>
      </c>
      <c r="AI37" s="162">
        <f>AD37*3+AE37</f>
        <v>5</v>
      </c>
      <c r="AJ37" s="162">
        <f>0.4+AG37+(AG37-AH37)*100+AD37*1000+AI37*10000000+AS37*10000</f>
        <v>50001004.399999999</v>
      </c>
      <c r="AK37" s="161">
        <f>IF(COUNTIF(AI37:AI40,CONCATENATE("=",AI37))=1,0,COUNTIF(AI37:AI40,CONCATENATE("=",AI37)))*AI37</f>
        <v>0</v>
      </c>
      <c r="AM37" s="162">
        <f>IF(AK37=AK41,AI37,IF(AK38=AK41,AI38,IF(AK39=AK41,AI39,AI40)))</f>
        <v>5</v>
      </c>
      <c r="AN37" s="162">
        <f>IF(AI37=AM37,1,0)</f>
        <v>1</v>
      </c>
      <c r="AO37" s="162">
        <f>COUNTIF(BF9:BG104,CONCATENATE(AC37,"_win"))</f>
        <v>0</v>
      </c>
      <c r="AP37" s="162">
        <f>SUMIF(BL9:BL104,CONCATENATE("=",AC37),BM9:BM104)*1.01+SUMIF(BH9:BH104,CONCATENATE("=",AC37),BI9:BI104)</f>
        <v>0</v>
      </c>
      <c r="AQ37" s="162">
        <f>SUMIF(BN9:BN104,CONCATENATE("=",AC37),BO9:BO104)+SUMIF(BJ9:BJ104,CONCATENATE("=",AC37),BK9:BK104)</f>
        <v>0</v>
      </c>
      <c r="AR37" s="161">
        <f>300*AO37+(AP37-AQ37)*10+AP37</f>
        <v>0</v>
      </c>
      <c r="AS37" s="161">
        <f>IF(AR37&gt;0,AR37,0)</f>
        <v>0</v>
      </c>
      <c r="AU37" s="161">
        <f>VLOOKUP(I25,AC9:AN61,12,FALSE)+VLOOKUP(F25,AC9:AN61,12,FALSE)</f>
        <v>1</v>
      </c>
      <c r="AV37" s="161" t="str">
        <f t="shared" si="71"/>
        <v>Anderlecht</v>
      </c>
      <c r="AW37" s="161">
        <f t="shared" si="72"/>
        <v>0</v>
      </c>
      <c r="AX37" s="161" t="str">
        <f t="shared" si="73"/>
        <v>Anderlecht</v>
      </c>
      <c r="AY37" s="161">
        <f t="shared" si="74"/>
        <v>5</v>
      </c>
      <c r="AZ37" s="161" t="str">
        <f t="shared" si="75"/>
        <v>PSG</v>
      </c>
      <c r="BA37" s="161">
        <f t="shared" si="76"/>
        <v>5</v>
      </c>
      <c r="BB37" s="161" t="str">
        <f t="shared" si="77"/>
        <v>PSG</v>
      </c>
      <c r="BC37" s="161">
        <f t="shared" si="78"/>
        <v>0</v>
      </c>
      <c r="BD37" s="161" t="str">
        <f t="shared" si="79"/>
        <v>Anderlecht_lose</v>
      </c>
      <c r="BE37" s="161" t="str">
        <f t="shared" si="80"/>
        <v>PSG_win</v>
      </c>
      <c r="BF37" s="161" t="str">
        <f t="shared" si="81"/>
        <v/>
      </c>
      <c r="BG37" s="161" t="str">
        <f t="shared" si="82"/>
        <v/>
      </c>
      <c r="BH37" s="161" t="str">
        <f t="shared" si="15"/>
        <v/>
      </c>
      <c r="BI37" s="161" t="str">
        <f t="shared" si="16"/>
        <v/>
      </c>
      <c r="BJ37" s="161" t="str">
        <f t="shared" si="17"/>
        <v/>
      </c>
      <c r="BK37" s="161" t="str">
        <f t="shared" si="18"/>
        <v/>
      </c>
      <c r="BL37" s="161" t="str">
        <f t="shared" si="19"/>
        <v/>
      </c>
      <c r="BM37" s="161" t="str">
        <f t="shared" si="20"/>
        <v/>
      </c>
      <c r="BN37" s="161" t="str">
        <f t="shared" si="21"/>
        <v/>
      </c>
      <c r="BO37" s="161" t="str">
        <f t="shared" si="22"/>
        <v/>
      </c>
      <c r="BU37" s="161">
        <f t="shared" ref="BU37:BV37" si="89">IF(RIGHT(BD61,3)="win",3,IF(RIGHT(BD61,3)="raw",1,IF(RIGHT(BD61,3)="ose",-1,0)))</f>
        <v>1</v>
      </c>
      <c r="BV37" s="161">
        <f t="shared" si="89"/>
        <v>1</v>
      </c>
      <c r="BW37" s="161">
        <f t="shared" ref="BW37:BX37" si="90">IF(RIGHT(BD73,3)="win",3,IF(RIGHT(BD73,3)="raw",1,IF(RIGHT(BD73,3)="ose",-1,0)))</f>
        <v>-1</v>
      </c>
      <c r="BX37" s="161">
        <f t="shared" si="90"/>
        <v>3</v>
      </c>
    </row>
    <row r="38" spans="1:76" ht="16.5" customHeight="1" x14ac:dyDescent="0.2">
      <c r="A38" s="167"/>
      <c r="B38" s="136" t="str">
        <f>INDEX(T,24,langID)</f>
        <v>Oct</v>
      </c>
      <c r="C38" s="137">
        <v>22</v>
      </c>
      <c r="D38" s="137">
        <v>2013</v>
      </c>
      <c r="E38" s="138">
        <v>0.86458333333333337</v>
      </c>
      <c r="F38" s="140" t="str">
        <f>AC38</f>
        <v>Schalke</v>
      </c>
      <c r="G38" s="156">
        <v>0</v>
      </c>
      <c r="H38" s="157">
        <v>3</v>
      </c>
      <c r="I38" s="139" t="str">
        <f>AC40</f>
        <v>Chelsea</v>
      </c>
      <c r="J38" s="19"/>
      <c r="K38" s="25" t="str">
        <f>VLOOKUP(3,AB37:AI40,2,FALSE)</f>
        <v>Schalke</v>
      </c>
      <c r="L38" s="26">
        <f>VLOOKUP(3,AB37:AI40,3,FALSE)</f>
        <v>2</v>
      </c>
      <c r="M38" s="26">
        <f>VLOOKUP(3,AB37:AI40,4,FALSE)</f>
        <v>0</v>
      </c>
      <c r="N38" s="26">
        <f>VLOOKUP(3,AB37:AI40,5,FALSE)</f>
        <v>2</v>
      </c>
      <c r="O38" s="26" t="str">
        <f>CONCATENATE(VLOOKUP(3,AB37:AI40,6,FALSE)," - ",VLOOKUP(3,AB37:AI40,7,FALSE))</f>
        <v>4 - 6</v>
      </c>
      <c r="P38" s="27">
        <f>VLOOKUP(3,AB37:AI40,8,FALSE)</f>
        <v>6</v>
      </c>
      <c r="Q38" s="19"/>
      <c r="R38" s="136" t="str">
        <f t="shared" si="23"/>
        <v>Oct</v>
      </c>
      <c r="S38" s="137">
        <f t="shared" si="0"/>
        <v>22</v>
      </c>
      <c r="T38" s="137">
        <f t="shared" si="1"/>
        <v>2013</v>
      </c>
      <c r="U38" s="138">
        <f t="shared" si="2"/>
        <v>0.86458333333333337</v>
      </c>
      <c r="V38" s="140" t="str">
        <f>AC45</f>
        <v>Olympique de Marseille</v>
      </c>
      <c r="W38" s="156">
        <v>1</v>
      </c>
      <c r="X38" s="157">
        <v>2</v>
      </c>
      <c r="Y38" s="147" t="str">
        <f>AC47</f>
        <v>Napoli</v>
      </c>
      <c r="Z38" s="179"/>
      <c r="AB38" s="160">
        <f>IF(AJ38&gt;AJ37,1,0)+IF(AJ38&gt;AJ38,1,0)+IF(AJ38&gt;AJ39,1,0)+IF(AJ38&gt;AJ40,1,0)+1</f>
        <v>3</v>
      </c>
      <c r="AC38" s="161" t="str">
        <f>INDEX(T,44,langID)</f>
        <v>Schalke</v>
      </c>
      <c r="AD38" s="162">
        <f>COUNTIF(BD9:BE104,CONCATENATE(AC38,"_win"))</f>
        <v>2</v>
      </c>
      <c r="AE38" s="162">
        <f>COUNTIF(BD9:BE104,CONCATENATE(AC38,"_draw"))</f>
        <v>0</v>
      </c>
      <c r="AF38" s="162">
        <f>COUNTIF(BD9:BE104,CONCATENATE(AC38,"_lose"))</f>
        <v>2</v>
      </c>
      <c r="AG38" s="162">
        <f>SUMIF(AZ9:AZ104,CONCATENATE("=",AC38),BA9:BA104)+SUMIF(AV9:AV104,CONCATENATE("=",AC38),AW9:AW104)</f>
        <v>4</v>
      </c>
      <c r="AH38" s="162">
        <f>SUMIF(BB9:BB104,CONCATENATE("=",AC38),BC9:BC104)+SUMIF(AX9:AX104,CONCATENATE("=",AC38),AY9:AY104)</f>
        <v>6</v>
      </c>
      <c r="AI38" s="162">
        <f>AD38*3+AE38</f>
        <v>6</v>
      </c>
      <c r="AJ38" s="162">
        <f>0.3+AG38+(AG38-AH38)*100+AD38*1000+AI38*10000000+AS38*10000</f>
        <v>60001804.299999997</v>
      </c>
      <c r="AK38" s="161">
        <f>IF(COUNTIF(AI37:AI40,CONCATENATE("=",AI38))=1,0,COUNTIF(AI37:AI40,CONCATENATE("=",AI38)))*AI38</f>
        <v>0</v>
      </c>
      <c r="AN38" s="162">
        <f>IF(AI38=AM37,1,0)</f>
        <v>0</v>
      </c>
      <c r="AO38" s="162">
        <f>COUNTIF(BF9:BG104,CONCATENATE(AC38,"_win"))</f>
        <v>0</v>
      </c>
      <c r="AP38" s="162">
        <f>SUMIF(BL9:BL104,CONCATENATE("=",AC38),BM9:BM104)*1.01+SUMIF(BH9:BH104,CONCATENATE("=",AC38),BI9:BI104)</f>
        <v>0</v>
      </c>
      <c r="AQ38" s="162">
        <f>SUMIF(BN9:BN104,CONCATENATE("=",AC38),BO9:BO104)+SUMIF(BJ9:BJ104,CONCATENATE("=",AC38),BK9:BK104)</f>
        <v>0</v>
      </c>
      <c r="AR38" s="161">
        <f>300*AO38+(AP38-AQ38)*10+AP38</f>
        <v>0</v>
      </c>
      <c r="AS38" s="161">
        <f>IF(AR38&gt;0,AR38,0)</f>
        <v>0</v>
      </c>
      <c r="AU38" s="161">
        <f>VLOOKUP(I26,AC9:AN61,12,FALSE)+VLOOKUP(F26,AC9:AN61,12,FALSE)</f>
        <v>0</v>
      </c>
      <c r="AV38" s="161" t="str">
        <f t="shared" si="71"/>
        <v>Benfica</v>
      </c>
      <c r="AW38" s="161">
        <f t="shared" si="72"/>
        <v>1</v>
      </c>
      <c r="AX38" s="161" t="str">
        <f t="shared" si="73"/>
        <v>Benfica</v>
      </c>
      <c r="AY38" s="161">
        <f t="shared" si="74"/>
        <v>1</v>
      </c>
      <c r="AZ38" s="161" t="str">
        <f t="shared" si="75"/>
        <v>Olympiacos</v>
      </c>
      <c r="BA38" s="161">
        <f t="shared" si="76"/>
        <v>1</v>
      </c>
      <c r="BB38" s="161" t="str">
        <f t="shared" si="77"/>
        <v>Olympiacos</v>
      </c>
      <c r="BC38" s="161">
        <f t="shared" si="78"/>
        <v>1</v>
      </c>
      <c r="BD38" s="161" t="str">
        <f t="shared" si="79"/>
        <v>Benfica_draw</v>
      </c>
      <c r="BE38" s="161" t="str">
        <f t="shared" si="80"/>
        <v>Olympiacos_draw</v>
      </c>
      <c r="BF38" s="161" t="str">
        <f t="shared" si="81"/>
        <v/>
      </c>
      <c r="BG38" s="161" t="str">
        <f t="shared" si="82"/>
        <v/>
      </c>
      <c r="BH38" s="161" t="str">
        <f t="shared" si="15"/>
        <v/>
      </c>
      <c r="BI38" s="161" t="str">
        <f t="shared" si="16"/>
        <v/>
      </c>
      <c r="BJ38" s="161" t="str">
        <f t="shared" si="17"/>
        <v/>
      </c>
      <c r="BK38" s="161" t="str">
        <f t="shared" si="18"/>
        <v/>
      </c>
      <c r="BL38" s="161" t="str">
        <f t="shared" si="19"/>
        <v/>
      </c>
      <c r="BM38" s="161" t="str">
        <f t="shared" si="20"/>
        <v/>
      </c>
      <c r="BN38" s="161" t="str">
        <f t="shared" si="21"/>
        <v/>
      </c>
      <c r="BO38" s="161" t="str">
        <f t="shared" si="22"/>
        <v/>
      </c>
      <c r="BU38" s="161">
        <f t="shared" ref="BU38:BV38" si="91">IF(RIGHT(BD62,3)="win",3,IF(RIGHT(BD62,3)="raw",1,IF(RIGHT(BD62,3)="ose",-1,0)))</f>
        <v>-1</v>
      </c>
      <c r="BV38" s="161">
        <f t="shared" si="91"/>
        <v>3</v>
      </c>
      <c r="BW38" s="161">
        <f t="shared" ref="BW38:BX38" si="92">IF(RIGHT(BD74,3)="win",3,IF(RIGHT(BD74,3)="raw",1,IF(RIGHT(BD74,3)="ose",-1,0)))</f>
        <v>-1</v>
      </c>
      <c r="BX38" s="161">
        <f t="shared" si="92"/>
        <v>3</v>
      </c>
    </row>
    <row r="39" spans="1:76" ht="16.5" customHeight="1" x14ac:dyDescent="0.2">
      <c r="A39" s="167"/>
      <c r="B39" s="136" t="str">
        <f>INDEX(T,25,langID)</f>
        <v>Nov</v>
      </c>
      <c r="C39" s="137">
        <v>6</v>
      </c>
      <c r="D39" s="137">
        <v>2013</v>
      </c>
      <c r="E39" s="138">
        <v>0.86458333333333337</v>
      </c>
      <c r="F39" s="140" t="str">
        <f>AC37</f>
        <v>Basel</v>
      </c>
      <c r="G39" s="156">
        <v>1</v>
      </c>
      <c r="H39" s="157">
        <v>1</v>
      </c>
      <c r="I39" s="139" t="str">
        <f>AC39</f>
        <v>Steaua Bucureşti</v>
      </c>
      <c r="J39" s="19"/>
      <c r="K39" s="25" t="str">
        <f>VLOOKUP(2,AB37:AI40,2,FALSE)</f>
        <v>Basel</v>
      </c>
      <c r="L39" s="26">
        <f>VLOOKUP(2,AB37:AI40,3,FALSE)</f>
        <v>1</v>
      </c>
      <c r="M39" s="26">
        <f>VLOOKUP(2,AB37:AI40,4,FALSE)</f>
        <v>2</v>
      </c>
      <c r="N39" s="26">
        <f>VLOOKUP(2,AB37:AI40,5,FALSE)</f>
        <v>1</v>
      </c>
      <c r="O39" s="26" t="str">
        <f>CONCATENATE(VLOOKUP(2,AB37:AI40,6,FALSE)," - ",VLOOKUP(2,AB37:AI40,7,FALSE))</f>
        <v>4 - 4</v>
      </c>
      <c r="P39" s="27">
        <f>VLOOKUP(2,AB37:AI40,8,FALSE)</f>
        <v>5</v>
      </c>
      <c r="Q39" s="19"/>
      <c r="R39" s="136" t="str">
        <f t="shared" si="23"/>
        <v>Nov</v>
      </c>
      <c r="S39" s="137">
        <f t="shared" si="0"/>
        <v>6</v>
      </c>
      <c r="T39" s="137">
        <f t="shared" si="1"/>
        <v>2013</v>
      </c>
      <c r="U39" s="138">
        <f t="shared" si="2"/>
        <v>0.86458333333333337</v>
      </c>
      <c r="V39" s="140" t="str">
        <f>AC44</f>
        <v>Borussia Dortmund</v>
      </c>
      <c r="W39" s="156">
        <v>0</v>
      </c>
      <c r="X39" s="157">
        <v>1</v>
      </c>
      <c r="Y39" s="147" t="str">
        <f>AC46</f>
        <v>Arsenal</v>
      </c>
      <c r="Z39" s="179"/>
      <c r="AB39" s="160">
        <f>IF(AJ39&gt;AJ37,1,0)+IF(AJ39&gt;AJ38,1,0)+IF(AJ39&gt;AJ39,1,0)+IF(AJ39&gt;AJ40,1,0)+1</f>
        <v>1</v>
      </c>
      <c r="AC39" s="161" t="str">
        <f>INDEX(T,45,langID)</f>
        <v>Steaua Bucureşti</v>
      </c>
      <c r="AD39" s="162">
        <f>COUNTIF(BD9:BE104,CONCATENATE(AC39,"_win"))</f>
        <v>0</v>
      </c>
      <c r="AE39" s="162">
        <f>COUNTIF(BD9:BE104,CONCATENATE(AC39,"_draw"))</f>
        <v>2</v>
      </c>
      <c r="AF39" s="162">
        <f>COUNTIF(BD9:BE104,CONCATENATE(AC39,"_lose"))</f>
        <v>2</v>
      </c>
      <c r="AG39" s="162">
        <f>SUMIF(AZ9:AZ104,CONCATENATE("=",AC39),BA9:BA104)+SUMIF(AV9:AV104,CONCATENATE("=",AC39),AW9:AW104)</f>
        <v>2</v>
      </c>
      <c r="AH39" s="162">
        <f>SUMIF(BB9:BB104,CONCATENATE("=",AC39),BC9:BC104)+SUMIF(AX9:AX104,CONCATENATE("=",AC39),AY9:AY104)</f>
        <v>9</v>
      </c>
      <c r="AI39" s="162">
        <f>AD39*3+AE39</f>
        <v>2</v>
      </c>
      <c r="AJ39" s="162">
        <f>0.2+AG39+(AG39-AH39)*100+AD39*1000+AI39*10000000+AS39*10000</f>
        <v>19999302.199999999</v>
      </c>
      <c r="AK39" s="161">
        <f>IF(COUNTIF(AI37:AI40,CONCATENATE("=",AI39))=1,0,COUNTIF(AI37:AI40,CONCATENATE("=",AI39)))*AI39</f>
        <v>0</v>
      </c>
      <c r="AN39" s="162">
        <f>IF(AI39=AM37,1,0)</f>
        <v>0</v>
      </c>
      <c r="AO39" s="162">
        <f>COUNTIF(BF9:BG104,CONCATENATE(AC39,"_win"))</f>
        <v>0</v>
      </c>
      <c r="AP39" s="162">
        <f>SUMIF(BL9:BL104,CONCATENATE("=",AC39),BM9:BM104)*1.01+SUMIF(BH9:BH104,CONCATENATE("=",AC39),BI9:BI104)</f>
        <v>0</v>
      </c>
      <c r="AQ39" s="162">
        <f>SUMIF(BN9:BN104,CONCATENATE("=",AC39),BO9:BO104)+SUMIF(BJ9:BJ104,CONCATENATE("=",AC39),BK9:BK104)</f>
        <v>0</v>
      </c>
      <c r="AR39" s="161">
        <f>300*AO39+(AP39-AQ39)*10+AP39</f>
        <v>0</v>
      </c>
      <c r="AS39" s="161">
        <f>IF(AR39&gt;0,AR39,0)</f>
        <v>0</v>
      </c>
      <c r="AU39" s="161">
        <f>VLOOKUP(I27,AC9:AN61,12,FALSE)+VLOOKUP(F27,AC9:AN61,12,FALSE)</f>
        <v>1</v>
      </c>
      <c r="AV39" s="161" t="str">
        <f t="shared" si="71"/>
        <v>PSG</v>
      </c>
      <c r="AW39" s="161">
        <f t="shared" si="72"/>
        <v>1</v>
      </c>
      <c r="AX39" s="161" t="str">
        <f t="shared" si="73"/>
        <v>PSG</v>
      </c>
      <c r="AY39" s="161">
        <f t="shared" si="74"/>
        <v>1</v>
      </c>
      <c r="AZ39" s="161" t="str">
        <f t="shared" si="75"/>
        <v>Anderlecht</v>
      </c>
      <c r="BA39" s="161">
        <f t="shared" si="76"/>
        <v>1</v>
      </c>
      <c r="BB39" s="161" t="str">
        <f t="shared" si="77"/>
        <v>Anderlecht</v>
      </c>
      <c r="BC39" s="161">
        <f t="shared" si="78"/>
        <v>1</v>
      </c>
      <c r="BD39" s="161" t="str">
        <f t="shared" si="79"/>
        <v>PSG_draw</v>
      </c>
      <c r="BE39" s="161" t="str">
        <f t="shared" si="80"/>
        <v>Anderlecht_draw</v>
      </c>
      <c r="BF39" s="161" t="str">
        <f t="shared" si="81"/>
        <v/>
      </c>
      <c r="BG39" s="161" t="str">
        <f t="shared" si="82"/>
        <v/>
      </c>
      <c r="BH39" s="161" t="str">
        <f t="shared" si="15"/>
        <v/>
      </c>
      <c r="BI39" s="161" t="str">
        <f t="shared" si="16"/>
        <v/>
      </c>
      <c r="BJ39" s="161" t="str">
        <f t="shared" si="17"/>
        <v/>
      </c>
      <c r="BK39" s="161" t="str">
        <f t="shared" si="18"/>
        <v/>
      </c>
      <c r="BL39" s="161" t="str">
        <f t="shared" si="19"/>
        <v/>
      </c>
      <c r="BM39" s="161" t="str">
        <f t="shared" si="20"/>
        <v/>
      </c>
      <c r="BN39" s="161" t="str">
        <f t="shared" si="21"/>
        <v/>
      </c>
      <c r="BO39" s="161" t="str">
        <f t="shared" si="22"/>
        <v/>
      </c>
      <c r="BU39" s="161">
        <f t="shared" ref="BU39:BV39" si="93">IF(RIGHT(BD63,3)="win",3,IF(RIGHT(BD63,3)="raw",1,IF(RIGHT(BD63,3)="ose",-1,0)))</f>
        <v>1</v>
      </c>
      <c r="BV39" s="161">
        <f t="shared" si="93"/>
        <v>1</v>
      </c>
      <c r="BW39" s="161">
        <f t="shared" ref="BW39:BX39" si="94">IF(RIGHT(BD75,3)="win",3,IF(RIGHT(BD75,3)="raw",1,IF(RIGHT(BD75,3)="ose",-1,0)))</f>
        <v>-1</v>
      </c>
      <c r="BX39" s="161">
        <f t="shared" si="94"/>
        <v>3</v>
      </c>
    </row>
    <row r="40" spans="1:76" ht="16.5" customHeight="1" x14ac:dyDescent="0.2">
      <c r="A40" s="167"/>
      <c r="B40" s="136" t="str">
        <f>INDEX(T,25,langID)</f>
        <v>Nov</v>
      </c>
      <c r="C40" s="137">
        <v>6</v>
      </c>
      <c r="D40" s="137">
        <v>2013</v>
      </c>
      <c r="E40" s="138">
        <v>0.86458333333333337</v>
      </c>
      <c r="F40" s="140" t="str">
        <f>AC40</f>
        <v>Chelsea</v>
      </c>
      <c r="G40" s="156">
        <v>3</v>
      </c>
      <c r="H40" s="157">
        <v>0</v>
      </c>
      <c r="I40" s="139" t="str">
        <f>AC38</f>
        <v>Schalke</v>
      </c>
      <c r="J40" s="19"/>
      <c r="K40" s="31" t="str">
        <f>VLOOKUP(1,AB37:AI40,2,FALSE)</f>
        <v>Steaua Bucureşti</v>
      </c>
      <c r="L40" s="32">
        <f>VLOOKUP(1,AB37:AI40,3,FALSE)</f>
        <v>0</v>
      </c>
      <c r="M40" s="32">
        <f>VLOOKUP(1,AB37:AI40,4,FALSE)</f>
        <v>2</v>
      </c>
      <c r="N40" s="32">
        <f>VLOOKUP(1,AB37:AI40,5,FALSE)</f>
        <v>2</v>
      </c>
      <c r="O40" s="32" t="str">
        <f>CONCATENATE(VLOOKUP(1,AB37:AI40,6,FALSE)," - ",VLOOKUP(1,AB37:AI40,7,FALSE))</f>
        <v>2 - 9</v>
      </c>
      <c r="P40" s="33">
        <f>VLOOKUP(1,AB37:AI40,8,FALSE)</f>
        <v>2</v>
      </c>
      <c r="Q40" s="19"/>
      <c r="R40" s="136" t="str">
        <f t="shared" si="23"/>
        <v>Nov</v>
      </c>
      <c r="S40" s="137">
        <f t="shared" si="0"/>
        <v>6</v>
      </c>
      <c r="T40" s="137">
        <f t="shared" si="1"/>
        <v>2013</v>
      </c>
      <c r="U40" s="138">
        <f t="shared" si="2"/>
        <v>0.86458333333333337</v>
      </c>
      <c r="V40" s="140" t="str">
        <f>AC47</f>
        <v>Napoli</v>
      </c>
      <c r="W40" s="156">
        <v>3</v>
      </c>
      <c r="X40" s="157">
        <v>2</v>
      </c>
      <c r="Y40" s="147" t="str">
        <f>AC45</f>
        <v>Olympique de Marseille</v>
      </c>
      <c r="Z40" s="179"/>
      <c r="AB40" s="160">
        <f>IF(AJ40&gt;AJ37,1,0)+IF(AJ40&gt;AJ38,1,0)+IF(AJ40&gt;AJ39,1,0)+IF(AJ40&gt;AJ40,1,0)+1</f>
        <v>4</v>
      </c>
      <c r="AC40" s="161" t="str">
        <f>INDEX(T,46,langID)</f>
        <v>Chelsea</v>
      </c>
      <c r="AD40" s="162">
        <f>COUNTIF(BD9:BE104,CONCATENATE(AC40,"_win"))</f>
        <v>3</v>
      </c>
      <c r="AE40" s="162">
        <f>COUNTIF(BD9:BE104,CONCATENATE(AC40,"_draw"))</f>
        <v>0</v>
      </c>
      <c r="AF40" s="162">
        <f>COUNTIF(BD9:BE104,CONCATENATE(AC40,"_lose"))</f>
        <v>1</v>
      </c>
      <c r="AG40" s="162">
        <f>SUMIF(AZ9:AZ104,CONCATENATE("=",AC40),BA9:BA104)+SUMIF(AV9:AV104,CONCATENATE("=",AC40),AW9:AW104)</f>
        <v>11</v>
      </c>
      <c r="AH40" s="162">
        <f>SUMIF(BB9:BB104,CONCATENATE("=",AC40),BC9:BC104)+SUMIF(AX9:AX104,CONCATENATE("=",AC40),AY9:AY104)</f>
        <v>2</v>
      </c>
      <c r="AI40" s="162">
        <f>AD40*3+AE40</f>
        <v>9</v>
      </c>
      <c r="AJ40" s="162">
        <f>0.1+AG40+(AG40-AH40)*100+AD40*1000+AI40*10000000+AS40*10000</f>
        <v>90003911.099999994</v>
      </c>
      <c r="AK40" s="161">
        <f>IF(COUNTIF(AI37:AI40,CONCATENATE("=",AI40))=1,0,COUNTIF(AI37:AI40,CONCATENATE("=",AI40)))*AI40</f>
        <v>0</v>
      </c>
      <c r="AN40" s="162">
        <f>IF(AI40=AM37,1,0)</f>
        <v>0</v>
      </c>
      <c r="AO40" s="162">
        <f>COUNTIF(BF9:BG104,CONCATENATE(AC40,"_win"))</f>
        <v>0</v>
      </c>
      <c r="AP40" s="162">
        <f>SUMIF(BL9:BL104,CONCATENATE("=",AC40),BM9:BM104)*1.01+SUMIF(BH9:BH104,CONCATENATE("=",AC40),BI9:BI104)</f>
        <v>0</v>
      </c>
      <c r="AQ40" s="162">
        <f>SUMIF(BN9:BN104,CONCATENATE("=",AC40),BO9:BO104)+SUMIF(BJ9:BJ104,CONCATENATE("=",AC40),BK9:BK104)</f>
        <v>0</v>
      </c>
      <c r="AR40" s="161">
        <f>300*AO40+(AP40-AQ40)*10+AP40</f>
        <v>0</v>
      </c>
      <c r="AS40" s="161">
        <f>IF(AR40&gt;0,AR40,0)</f>
        <v>0</v>
      </c>
      <c r="AU40" s="161">
        <f>VLOOKUP(I28,AC9:AN61,12,FALSE)+VLOOKUP(F28,AC9:AN61,12,FALSE)</f>
        <v>0</v>
      </c>
      <c r="AV40" s="161" t="str">
        <f t="shared" si="71"/>
        <v>Olympiacos</v>
      </c>
      <c r="AW40" s="161">
        <f t="shared" si="72"/>
        <v>1</v>
      </c>
      <c r="AX40" s="161" t="str">
        <f t="shared" si="73"/>
        <v>Olympiacos</v>
      </c>
      <c r="AY40" s="161">
        <f t="shared" si="74"/>
        <v>0</v>
      </c>
      <c r="AZ40" s="161" t="str">
        <f t="shared" si="75"/>
        <v>Benfica</v>
      </c>
      <c r="BA40" s="161">
        <f t="shared" si="76"/>
        <v>0</v>
      </c>
      <c r="BB40" s="161" t="str">
        <f t="shared" si="77"/>
        <v>Benfica</v>
      </c>
      <c r="BC40" s="161">
        <f t="shared" si="78"/>
        <v>1</v>
      </c>
      <c r="BD40" s="161" t="str">
        <f t="shared" si="79"/>
        <v>Olympiacos_win</v>
      </c>
      <c r="BE40" s="161" t="str">
        <f t="shared" si="80"/>
        <v>Benfica_lose</v>
      </c>
      <c r="BF40" s="161" t="str">
        <f t="shared" si="81"/>
        <v/>
      </c>
      <c r="BG40" s="161" t="str">
        <f t="shared" si="82"/>
        <v/>
      </c>
      <c r="BH40" s="161" t="str">
        <f t="shared" si="15"/>
        <v/>
      </c>
      <c r="BI40" s="161" t="str">
        <f t="shared" si="16"/>
        <v/>
      </c>
      <c r="BJ40" s="161" t="str">
        <f t="shared" si="17"/>
        <v/>
      </c>
      <c r="BK40" s="161" t="str">
        <f t="shared" si="18"/>
        <v/>
      </c>
      <c r="BL40" s="161" t="str">
        <f t="shared" si="19"/>
        <v/>
      </c>
      <c r="BM40" s="161" t="str">
        <f t="shared" si="20"/>
        <v/>
      </c>
      <c r="BN40" s="161" t="str">
        <f t="shared" si="21"/>
        <v/>
      </c>
      <c r="BO40" s="161" t="str">
        <f t="shared" si="22"/>
        <v/>
      </c>
      <c r="BU40" s="161">
        <f t="shared" ref="BU40:BV40" si="95">IF(RIGHT(BD64,3)="win",3,IF(RIGHT(BD64,3)="raw",1,IF(RIGHT(BD64,3)="ose",-1,0)))</f>
        <v>3</v>
      </c>
      <c r="BV40" s="161">
        <f t="shared" si="95"/>
        <v>-1</v>
      </c>
      <c r="BW40" s="161">
        <f t="shared" ref="BW40:BX40" si="96">IF(RIGHT(BD76,3)="win",3,IF(RIGHT(BD76,3)="raw",1,IF(RIGHT(BD76,3)="ose",-1,0)))</f>
        <v>3</v>
      </c>
      <c r="BX40" s="161">
        <f t="shared" si="96"/>
        <v>-1</v>
      </c>
    </row>
    <row r="41" spans="1:76" ht="16.5" customHeight="1" x14ac:dyDescent="0.2">
      <c r="A41" s="167"/>
      <c r="B41" s="136" t="str">
        <f>INDEX(T,25,langID)</f>
        <v>Nov</v>
      </c>
      <c r="C41" s="137">
        <v>26</v>
      </c>
      <c r="D41" s="137">
        <v>2013</v>
      </c>
      <c r="E41" s="138">
        <v>0.86458333333333337</v>
      </c>
      <c r="F41" s="140" t="str">
        <f>AC37</f>
        <v>Basel</v>
      </c>
      <c r="G41" s="156"/>
      <c r="H41" s="157"/>
      <c r="I41" s="139" t="str">
        <f>AC40</f>
        <v>Chelsea</v>
      </c>
      <c r="J41" s="19"/>
      <c r="K41" s="19"/>
      <c r="L41" s="34"/>
      <c r="M41" s="34"/>
      <c r="N41" s="34"/>
      <c r="O41" s="34"/>
      <c r="P41" s="34"/>
      <c r="Q41" s="19"/>
      <c r="R41" s="136" t="str">
        <f t="shared" si="23"/>
        <v>Nov</v>
      </c>
      <c r="S41" s="137">
        <f t="shared" si="0"/>
        <v>26</v>
      </c>
      <c r="T41" s="137">
        <f t="shared" si="1"/>
        <v>2013</v>
      </c>
      <c r="U41" s="138">
        <f t="shared" si="2"/>
        <v>0.86458333333333337</v>
      </c>
      <c r="V41" s="140" t="str">
        <f>AC44</f>
        <v>Borussia Dortmund</v>
      </c>
      <c r="W41" s="156"/>
      <c r="X41" s="157"/>
      <c r="Y41" s="147" t="str">
        <f>AC47</f>
        <v>Napoli</v>
      </c>
      <c r="Z41" s="179"/>
      <c r="AK41" s="161">
        <f>MAX(AK37:AK40)</f>
        <v>0</v>
      </c>
      <c r="AU41" s="161">
        <f>VLOOKUP(I29,AC9:AN61,12,FALSE)+VLOOKUP(F29,AC9:AN61,12,FALSE)</f>
        <v>1</v>
      </c>
      <c r="AV41" s="161" t="str">
        <f t="shared" si="71"/>
        <v>PSG</v>
      </c>
      <c r="AW41" s="161">
        <f t="shared" si="72"/>
        <v>0</v>
      </c>
      <c r="AX41" s="161" t="str">
        <f t="shared" si="73"/>
        <v>PSG</v>
      </c>
      <c r="AY41" s="161">
        <f t="shared" si="74"/>
        <v>0</v>
      </c>
      <c r="AZ41" s="161" t="str">
        <f t="shared" si="75"/>
        <v>Olympiacos</v>
      </c>
      <c r="BA41" s="161">
        <f t="shared" si="76"/>
        <v>0</v>
      </c>
      <c r="BB41" s="161" t="str">
        <f t="shared" si="77"/>
        <v>Olympiacos</v>
      </c>
      <c r="BC41" s="161">
        <f t="shared" si="78"/>
        <v>0</v>
      </c>
      <c r="BD41" s="161" t="str">
        <f t="shared" si="79"/>
        <v/>
      </c>
      <c r="BE41" s="161" t="str">
        <f t="shared" si="80"/>
        <v/>
      </c>
      <c r="BF41" s="161" t="str">
        <f t="shared" si="81"/>
        <v/>
      </c>
      <c r="BG41" s="161" t="str">
        <f t="shared" si="82"/>
        <v/>
      </c>
      <c r="BH41" s="161" t="str">
        <f t="shared" si="15"/>
        <v/>
      </c>
      <c r="BI41" s="161" t="str">
        <f t="shared" si="16"/>
        <v/>
      </c>
      <c r="BJ41" s="161" t="str">
        <f t="shared" si="17"/>
        <v/>
      </c>
      <c r="BK41" s="161" t="str">
        <f t="shared" si="18"/>
        <v/>
      </c>
      <c r="BL41" s="161" t="str">
        <f t="shared" si="19"/>
        <v/>
      </c>
      <c r="BM41" s="161" t="str">
        <f t="shared" si="20"/>
        <v/>
      </c>
      <c r="BN41" s="161" t="str">
        <f t="shared" si="21"/>
        <v/>
      </c>
      <c r="BO41" s="161" t="str">
        <f t="shared" si="22"/>
        <v/>
      </c>
      <c r="BU41" s="161">
        <f t="shared" ref="BU41:BV41" si="97">IF(RIGHT(BD65,3)="win",3,IF(RIGHT(BD65,3)="raw",1,IF(RIGHT(BD65,3)="ose",-1,0)))</f>
        <v>0</v>
      </c>
      <c r="BV41" s="161">
        <f t="shared" si="97"/>
        <v>0</v>
      </c>
      <c r="BW41" s="161">
        <f t="shared" ref="BW41:BX41" si="98">IF(RIGHT(BD77,3)="win",3,IF(RIGHT(BD77,3)="raw",1,IF(RIGHT(BD77,3)="ose",-1,0)))</f>
        <v>0</v>
      </c>
      <c r="BX41" s="161">
        <f t="shared" si="98"/>
        <v>0</v>
      </c>
    </row>
    <row r="42" spans="1:76" ht="16.5" customHeight="1" x14ac:dyDescent="0.2">
      <c r="A42" s="167"/>
      <c r="B42" s="136" t="str">
        <f>INDEX(T,25,langID)</f>
        <v>Nov</v>
      </c>
      <c r="C42" s="137">
        <v>26</v>
      </c>
      <c r="D42" s="137">
        <v>2013</v>
      </c>
      <c r="E42" s="138">
        <v>0.86458333333333337</v>
      </c>
      <c r="F42" s="140" t="str">
        <f>AC39</f>
        <v>Steaua Bucureşti</v>
      </c>
      <c r="G42" s="156"/>
      <c r="H42" s="157"/>
      <c r="I42" s="139" t="str">
        <f>AC38</f>
        <v>Schalke</v>
      </c>
      <c r="J42" s="19"/>
      <c r="K42" s="197" t="str">
        <f>INDEX(T,4,langID) &amp; " F"</f>
        <v>Group F</v>
      </c>
      <c r="L42" s="181" t="str">
        <f>INDEX(T,7,langID)</f>
        <v>Win</v>
      </c>
      <c r="M42" s="181" t="str">
        <f>INDEX(T,8,langID)</f>
        <v>Draw</v>
      </c>
      <c r="N42" s="181" t="str">
        <f>INDEX(T,9,langID)</f>
        <v>Lose</v>
      </c>
      <c r="O42" s="181" t="str">
        <f>INDEX(T,10,langID)</f>
        <v>F - A</v>
      </c>
      <c r="P42" s="183" t="str">
        <f>INDEX(T,11,langID)</f>
        <v>Pts</v>
      </c>
      <c r="Q42" s="19"/>
      <c r="R42" s="136" t="str">
        <f t="shared" si="23"/>
        <v>Nov</v>
      </c>
      <c r="S42" s="137">
        <f t="shared" si="0"/>
        <v>26</v>
      </c>
      <c r="T42" s="137">
        <f t="shared" si="1"/>
        <v>2013</v>
      </c>
      <c r="U42" s="138">
        <f t="shared" si="2"/>
        <v>0.86458333333333337</v>
      </c>
      <c r="V42" s="140" t="str">
        <f>AC46</f>
        <v>Arsenal</v>
      </c>
      <c r="W42" s="156"/>
      <c r="X42" s="157"/>
      <c r="Y42" s="147" t="str">
        <f>AC45</f>
        <v>Olympique de Marseille</v>
      </c>
      <c r="Z42" s="179"/>
      <c r="AU42" s="161">
        <f>VLOOKUP(I30,AC9:AN61,12,FALSE)+VLOOKUP(F30,AC9:AN61,12,FALSE)</f>
        <v>0</v>
      </c>
      <c r="AV42" s="161" t="str">
        <f t="shared" si="71"/>
        <v>Anderlecht</v>
      </c>
      <c r="AW42" s="161">
        <f t="shared" si="72"/>
        <v>0</v>
      </c>
      <c r="AX42" s="161" t="str">
        <f t="shared" si="73"/>
        <v>Anderlecht</v>
      </c>
      <c r="AY42" s="161">
        <f t="shared" si="74"/>
        <v>0</v>
      </c>
      <c r="AZ42" s="161" t="str">
        <f t="shared" si="75"/>
        <v>Benfica</v>
      </c>
      <c r="BA42" s="161">
        <f t="shared" si="76"/>
        <v>0</v>
      </c>
      <c r="BB42" s="161" t="str">
        <f t="shared" si="77"/>
        <v>Benfica</v>
      </c>
      <c r="BC42" s="161">
        <f t="shared" si="78"/>
        <v>0</v>
      </c>
      <c r="BD42" s="161" t="str">
        <f t="shared" si="79"/>
        <v/>
      </c>
      <c r="BE42" s="161" t="str">
        <f t="shared" si="80"/>
        <v/>
      </c>
      <c r="BF42" s="161" t="str">
        <f t="shared" si="81"/>
        <v/>
      </c>
      <c r="BG42" s="161" t="str">
        <f t="shared" si="82"/>
        <v/>
      </c>
      <c r="BH42" s="161" t="str">
        <f t="shared" si="15"/>
        <v/>
      </c>
      <c r="BI42" s="161" t="str">
        <f t="shared" si="16"/>
        <v/>
      </c>
      <c r="BJ42" s="161" t="str">
        <f t="shared" si="17"/>
        <v/>
      </c>
      <c r="BK42" s="161" t="str">
        <f t="shared" si="18"/>
        <v/>
      </c>
      <c r="BL42" s="161" t="str">
        <f t="shared" si="19"/>
        <v/>
      </c>
      <c r="BM42" s="161" t="str">
        <f t="shared" si="20"/>
        <v/>
      </c>
      <c r="BN42" s="161" t="str">
        <f t="shared" si="21"/>
        <v/>
      </c>
      <c r="BO42" s="161" t="str">
        <f t="shared" si="22"/>
        <v/>
      </c>
      <c r="BU42" s="161">
        <f t="shared" ref="BU42:BV42" si="99">IF(RIGHT(BD66,3)="win",3,IF(RIGHT(BD66,3)="raw",1,IF(RIGHT(BD66,3)="ose",-1,0)))</f>
        <v>0</v>
      </c>
      <c r="BV42" s="161">
        <f t="shared" si="99"/>
        <v>0</v>
      </c>
      <c r="BW42" s="161">
        <f t="shared" ref="BW42:BX42" si="100">IF(RIGHT(BD78,3)="win",3,IF(RIGHT(BD78,3)="raw",1,IF(RIGHT(BD78,3)="ose",-1,0)))</f>
        <v>0</v>
      </c>
      <c r="BX42" s="161">
        <f t="shared" si="100"/>
        <v>0</v>
      </c>
    </row>
    <row r="43" spans="1:76" ht="16.5" customHeight="1" x14ac:dyDescent="0.2">
      <c r="A43" s="167"/>
      <c r="B43" s="136" t="str">
        <f>INDEX(T,26,langID)</f>
        <v>Dec</v>
      </c>
      <c r="C43" s="137">
        <v>11</v>
      </c>
      <c r="D43" s="137">
        <v>2013</v>
      </c>
      <c r="E43" s="138">
        <v>0.86458333333333337</v>
      </c>
      <c r="F43" s="140" t="str">
        <f>AC40</f>
        <v>Chelsea</v>
      </c>
      <c r="G43" s="156"/>
      <c r="H43" s="157"/>
      <c r="I43" s="139" t="str">
        <f>AC39</f>
        <v>Steaua Bucureşti</v>
      </c>
      <c r="J43" s="19"/>
      <c r="K43" s="198"/>
      <c r="L43" s="182"/>
      <c r="M43" s="182"/>
      <c r="N43" s="182"/>
      <c r="O43" s="182"/>
      <c r="P43" s="184"/>
      <c r="Q43" s="19"/>
      <c r="R43" s="136" t="str">
        <f t="shared" si="23"/>
        <v>Dec</v>
      </c>
      <c r="S43" s="137">
        <f t="shared" si="0"/>
        <v>11</v>
      </c>
      <c r="T43" s="137">
        <f t="shared" si="1"/>
        <v>2013</v>
      </c>
      <c r="U43" s="138">
        <f t="shared" si="2"/>
        <v>0.86458333333333337</v>
      </c>
      <c r="V43" s="140" t="str">
        <f>AC47</f>
        <v>Napoli</v>
      </c>
      <c r="W43" s="156"/>
      <c r="X43" s="157"/>
      <c r="Y43" s="147" t="str">
        <f>AC46</f>
        <v>Arsenal</v>
      </c>
      <c r="Z43" s="179"/>
      <c r="AU43" s="161">
        <f>VLOOKUP(I31,AC9:AN61,12,FALSE)+VLOOKUP(F31,AC9:AN61,12,FALSE)</f>
        <v>0</v>
      </c>
      <c r="AV43" s="161" t="str">
        <f t="shared" si="71"/>
        <v>Olympiacos</v>
      </c>
      <c r="AW43" s="161">
        <f t="shared" si="72"/>
        <v>0</v>
      </c>
      <c r="AX43" s="161" t="str">
        <f t="shared" si="73"/>
        <v>Olympiacos</v>
      </c>
      <c r="AY43" s="161">
        <f t="shared" si="74"/>
        <v>0</v>
      </c>
      <c r="AZ43" s="161" t="str">
        <f t="shared" si="75"/>
        <v>Anderlecht</v>
      </c>
      <c r="BA43" s="161">
        <f t="shared" si="76"/>
        <v>0</v>
      </c>
      <c r="BB43" s="161" t="str">
        <f t="shared" si="77"/>
        <v>Anderlecht</v>
      </c>
      <c r="BC43" s="161">
        <f t="shared" si="78"/>
        <v>0</v>
      </c>
      <c r="BD43" s="161" t="str">
        <f t="shared" si="79"/>
        <v/>
      </c>
      <c r="BE43" s="161" t="str">
        <f t="shared" si="80"/>
        <v/>
      </c>
      <c r="BF43" s="161" t="str">
        <f t="shared" si="81"/>
        <v/>
      </c>
      <c r="BG43" s="161" t="str">
        <f t="shared" si="82"/>
        <v/>
      </c>
      <c r="BH43" s="161" t="str">
        <f t="shared" si="15"/>
        <v/>
      </c>
      <c r="BI43" s="161" t="str">
        <f t="shared" si="16"/>
        <v/>
      </c>
      <c r="BJ43" s="161" t="str">
        <f t="shared" si="17"/>
        <v/>
      </c>
      <c r="BK43" s="161" t="str">
        <f t="shared" si="18"/>
        <v/>
      </c>
      <c r="BL43" s="161" t="str">
        <f t="shared" si="19"/>
        <v/>
      </c>
      <c r="BM43" s="161" t="str">
        <f t="shared" si="20"/>
        <v/>
      </c>
      <c r="BN43" s="161" t="str">
        <f t="shared" si="21"/>
        <v/>
      </c>
      <c r="BO43" s="161" t="str">
        <f t="shared" si="22"/>
        <v/>
      </c>
      <c r="BU43" s="161">
        <f t="shared" ref="BU43:BV43" si="101">IF(RIGHT(BD67,3)="win",3,IF(RIGHT(BD67,3)="raw",1,IF(RIGHT(BD67,3)="ose",-1,0)))</f>
        <v>0</v>
      </c>
      <c r="BV43" s="161">
        <f t="shared" si="101"/>
        <v>0</v>
      </c>
      <c r="BW43" s="161">
        <f t="shared" ref="BW43:BX43" si="102">IF(RIGHT(BD79,3)="win",3,IF(RIGHT(BD79,3)="raw",1,IF(RIGHT(BD79,3)="ose",-1,0)))</f>
        <v>0</v>
      </c>
      <c r="BX43" s="161">
        <f t="shared" si="102"/>
        <v>0</v>
      </c>
    </row>
    <row r="44" spans="1:76" ht="16.5" customHeight="1" x14ac:dyDescent="0.2">
      <c r="A44" s="168"/>
      <c r="B44" s="149" t="str">
        <f>INDEX(T,26,langID)</f>
        <v>Dec</v>
      </c>
      <c r="C44" s="150">
        <v>11</v>
      </c>
      <c r="D44" s="150">
        <v>2013</v>
      </c>
      <c r="E44" s="151">
        <v>0.86458333333333337</v>
      </c>
      <c r="F44" s="142" t="str">
        <f>AC38</f>
        <v>Schalke</v>
      </c>
      <c r="G44" s="158"/>
      <c r="H44" s="159"/>
      <c r="I44" s="145" t="str">
        <f>AC37</f>
        <v>Basel</v>
      </c>
      <c r="J44" s="19"/>
      <c r="K44" s="22" t="str">
        <f>VLOOKUP(4,AB44:AI47,2,FALSE)</f>
        <v>Arsenal</v>
      </c>
      <c r="L44" s="23">
        <f>VLOOKUP(4,AB44:AI47,3,FALSE)</f>
        <v>3</v>
      </c>
      <c r="M44" s="23">
        <f>VLOOKUP(4,AB44:AI47,4,FALSE)</f>
        <v>0</v>
      </c>
      <c r="N44" s="23">
        <f>VLOOKUP(4,AB44:AI47,5,FALSE)</f>
        <v>1</v>
      </c>
      <c r="O44" s="23" t="str">
        <f>CONCATENATE(VLOOKUP(4,AB44:AI47,6,FALSE)," - ",VLOOKUP(4,AB44:AI47,7,FALSE))</f>
        <v>6 - 3</v>
      </c>
      <c r="P44" s="24">
        <f>VLOOKUP(4,AB44:AI47,8,FALSE)</f>
        <v>9</v>
      </c>
      <c r="Q44" s="19"/>
      <c r="R44" s="149" t="str">
        <f t="shared" si="23"/>
        <v>Dec</v>
      </c>
      <c r="S44" s="150">
        <f t="shared" si="0"/>
        <v>11</v>
      </c>
      <c r="T44" s="150">
        <f t="shared" si="1"/>
        <v>2013</v>
      </c>
      <c r="U44" s="151">
        <f t="shared" si="2"/>
        <v>0.86458333333333337</v>
      </c>
      <c r="V44" s="142" t="str">
        <f>AC45</f>
        <v>Olympique de Marseille</v>
      </c>
      <c r="W44" s="158"/>
      <c r="X44" s="159"/>
      <c r="Y44" s="148" t="str">
        <f>AC44</f>
        <v>Borussia Dortmund</v>
      </c>
      <c r="Z44" s="180"/>
      <c r="AB44" s="160">
        <f>IF(AJ44&gt;AJ44,1,0)+IF(AJ44&gt;AJ45,1,0)+IF(AJ44&gt;AJ46,1,0)+IF(AJ44&gt;AJ47,1,0)+1</f>
        <v>2</v>
      </c>
      <c r="AC44" s="161" t="str">
        <f>INDEX(T,47,langID)</f>
        <v>Borussia Dortmund</v>
      </c>
      <c r="AD44" s="162">
        <f>COUNTIF(BD9:BE104,CONCATENATE(AC44,"_win"))</f>
        <v>2</v>
      </c>
      <c r="AE44" s="162">
        <f>COUNTIF(BD9:BE104,CONCATENATE(AC44,"_draw"))</f>
        <v>0</v>
      </c>
      <c r="AF44" s="162">
        <f>COUNTIF(BD9:BE104,CONCATENATE(AC44,"_lose"))</f>
        <v>2</v>
      </c>
      <c r="AG44" s="162">
        <f>SUMIF(AZ9:AZ104,CONCATENATE("=",AC44),BA9:BA104)+SUMIF(AV9:AV104,CONCATENATE("=",AC44),AW9:AW104)</f>
        <v>6</v>
      </c>
      <c r="AH44" s="162">
        <f>SUMIF(BB9:BB104,CONCATENATE("=",AC44),BC9:BC104)+SUMIF(AX9:AX104,CONCATENATE("=",AC44),AY9:AY104)</f>
        <v>4</v>
      </c>
      <c r="AI44" s="162">
        <f>AD44*3+AE44</f>
        <v>6</v>
      </c>
      <c r="AJ44" s="162">
        <f>0.4+AG44+(AG44-AH44)*100+AD44*1000+AI44*10000000+AS44*10000</f>
        <v>60002206.399999999</v>
      </c>
      <c r="AK44" s="161">
        <f>IF(COUNTIF(AI44:AI47,CONCATENATE("=",AI44))=1,0,COUNTIF(AI44:AI47,CONCATENATE("=",AI44)))*AI44</f>
        <v>0</v>
      </c>
      <c r="AM44" s="162">
        <f>IF(AK44=AK48,AI44,IF(AK45=AK48,AI45,IF(AK46=AK48,AI46,AI47)))</f>
        <v>9</v>
      </c>
      <c r="AN44" s="162">
        <f>IF(AI44=AM44,1,0)</f>
        <v>0</v>
      </c>
      <c r="AO44" s="162">
        <f>COUNTIF(BF9:BG104,CONCATENATE(AC44,"_win"))</f>
        <v>0</v>
      </c>
      <c r="AP44" s="162">
        <f>SUMIF(BL9:BL104,CONCATENATE("=",AC44),BM9:BM104)*1.01+SUMIF(BH9:BH104,CONCATENATE("=",AC44),BI9:BI104)</f>
        <v>0</v>
      </c>
      <c r="AQ44" s="162">
        <f>SUMIF(BN9:BN104,CONCATENATE("=",AC44),BO9:BO104)+SUMIF(BJ9:BJ104,CONCATENATE("=",AC44),BK9:BK104)</f>
        <v>0</v>
      </c>
      <c r="AR44" s="161">
        <f>300*AO44+(AP44-AQ44)*10+AP44</f>
        <v>0</v>
      </c>
      <c r="AS44" s="161">
        <f>IF(AR44&gt;0,AR44,0)</f>
        <v>0</v>
      </c>
      <c r="AU44" s="161">
        <f>VLOOKUP(I32,AC9:AN61,12,FALSE)+VLOOKUP(F32,AC9:AN61,12,FALSE)</f>
        <v>1</v>
      </c>
      <c r="AV44" s="161" t="str">
        <f t="shared" si="71"/>
        <v>Benfica</v>
      </c>
      <c r="AW44" s="161">
        <f t="shared" si="72"/>
        <v>0</v>
      </c>
      <c r="AX44" s="161" t="str">
        <f t="shared" si="73"/>
        <v>Benfica</v>
      </c>
      <c r="AY44" s="161">
        <f t="shared" si="74"/>
        <v>0</v>
      </c>
      <c r="AZ44" s="161" t="str">
        <f t="shared" si="75"/>
        <v>PSG</v>
      </c>
      <c r="BA44" s="161">
        <f t="shared" si="76"/>
        <v>0</v>
      </c>
      <c r="BB44" s="161" t="str">
        <f t="shared" si="77"/>
        <v>PSG</v>
      </c>
      <c r="BC44" s="161">
        <f t="shared" si="78"/>
        <v>0</v>
      </c>
      <c r="BD44" s="161" t="str">
        <f t="shared" si="79"/>
        <v/>
      </c>
      <c r="BE44" s="161" t="str">
        <f t="shared" si="80"/>
        <v/>
      </c>
      <c r="BF44" s="161" t="str">
        <f t="shared" si="81"/>
        <v/>
      </c>
      <c r="BG44" s="161" t="str">
        <f t="shared" si="82"/>
        <v/>
      </c>
      <c r="BH44" s="161" t="str">
        <f t="shared" si="15"/>
        <v/>
      </c>
      <c r="BI44" s="161" t="str">
        <f t="shared" si="16"/>
        <v/>
      </c>
      <c r="BJ44" s="161" t="str">
        <f t="shared" si="17"/>
        <v/>
      </c>
      <c r="BK44" s="161" t="str">
        <f t="shared" si="18"/>
        <v/>
      </c>
      <c r="BL44" s="161" t="str">
        <f t="shared" si="19"/>
        <v/>
      </c>
      <c r="BM44" s="161" t="str">
        <f t="shared" si="20"/>
        <v/>
      </c>
      <c r="BN44" s="161" t="str">
        <f t="shared" si="21"/>
        <v/>
      </c>
      <c r="BO44" s="161" t="str">
        <f t="shared" si="22"/>
        <v/>
      </c>
      <c r="BU44" s="161">
        <f t="shared" ref="BU44:BV44" si="103">IF(RIGHT(BD68,3)="win",3,IF(RIGHT(BD68,3)="raw",1,IF(RIGHT(BD68,3)="ose",-1,0)))</f>
        <v>0</v>
      </c>
      <c r="BV44" s="161">
        <f t="shared" si="103"/>
        <v>0</v>
      </c>
      <c r="BW44" s="161">
        <f t="shared" ref="BW44:BX44" si="104">IF(RIGHT(BD80,3)="win",3,IF(RIGHT(BD80,3)="raw",1,IF(RIGHT(BD80,3)="ose",-1,0)))</f>
        <v>0</v>
      </c>
      <c r="BX44" s="161">
        <f t="shared" si="104"/>
        <v>0</v>
      </c>
    </row>
    <row r="45" spans="1:76" ht="16.5" customHeight="1" x14ac:dyDescent="0.2">
      <c r="A45" s="166" t="str">
        <f>INDEX(T,4,langID) &amp; " G"</f>
        <v>Group G</v>
      </c>
      <c r="B45" s="133" t="str">
        <f>INDEX(T,23,langID)</f>
        <v>Sep</v>
      </c>
      <c r="C45" s="134">
        <v>18</v>
      </c>
      <c r="D45" s="134">
        <v>2013</v>
      </c>
      <c r="E45" s="135">
        <v>0.86458333333333337</v>
      </c>
      <c r="F45" s="143" t="str">
        <f>AC54</f>
        <v>Atlético de Madrid</v>
      </c>
      <c r="G45" s="154">
        <v>3</v>
      </c>
      <c r="H45" s="155">
        <v>1</v>
      </c>
      <c r="I45" s="144" t="str">
        <f>AC51</f>
        <v>Zenit</v>
      </c>
      <c r="J45" s="19"/>
      <c r="K45" s="25" t="str">
        <f>VLOOKUP(3,AB44:AI47,2,FALSE)</f>
        <v>Napoli</v>
      </c>
      <c r="L45" s="26">
        <f>VLOOKUP(3,AB44:AI47,3,FALSE)</f>
        <v>3</v>
      </c>
      <c r="M45" s="26">
        <f>VLOOKUP(3,AB44:AI47,4,FALSE)</f>
        <v>0</v>
      </c>
      <c r="N45" s="26">
        <f>VLOOKUP(3,AB44:AI47,5,FALSE)</f>
        <v>1</v>
      </c>
      <c r="O45" s="26" t="str">
        <f>CONCATENATE(VLOOKUP(3,AB44:AI47,6,FALSE)," - ",VLOOKUP(3,AB44:AI47,7,FALSE))</f>
        <v>7 - 6</v>
      </c>
      <c r="P45" s="27">
        <f>VLOOKUP(3,AB44:AI47,8,FALSE)</f>
        <v>9</v>
      </c>
      <c r="Q45" s="19"/>
      <c r="R45" s="133" t="str">
        <f t="shared" si="23"/>
        <v>Sep</v>
      </c>
      <c r="S45" s="134">
        <f t="shared" si="0"/>
        <v>18</v>
      </c>
      <c r="T45" s="134">
        <f t="shared" si="1"/>
        <v>2013</v>
      </c>
      <c r="U45" s="135">
        <f t="shared" si="2"/>
        <v>0.86458333333333337</v>
      </c>
      <c r="V45" s="143" t="str">
        <f>AC61</f>
        <v>Barcelona</v>
      </c>
      <c r="W45" s="154">
        <v>4</v>
      </c>
      <c r="X45" s="155">
        <v>0</v>
      </c>
      <c r="Y45" s="146" t="str">
        <f>AC58</f>
        <v>Ajax</v>
      </c>
      <c r="Z45" s="178" t="str">
        <f>INDEX(T,4,langID) &amp; " H"</f>
        <v>Group H</v>
      </c>
      <c r="AB45" s="160">
        <f>IF(AJ45&gt;AJ44,1,0)+IF(AJ45&gt;AJ45,1,0)+IF(AJ45&gt;AJ46,1,0)+IF(AJ45&gt;AJ47,1,0)+1</f>
        <v>1</v>
      </c>
      <c r="AC45" s="161" t="str">
        <f>INDEX(T,48,langID)</f>
        <v>Olympique de Marseille</v>
      </c>
      <c r="AD45" s="162">
        <f>COUNTIF(BD9:BE104,CONCATENATE(AC45,"_win"))</f>
        <v>0</v>
      </c>
      <c r="AE45" s="162">
        <f>COUNTIF(BD9:BE104,CONCATENATE(AC45,"_draw"))</f>
        <v>0</v>
      </c>
      <c r="AF45" s="162">
        <f>COUNTIF(BD9:BE104,CONCATENATE(AC45,"_lose"))</f>
        <v>4</v>
      </c>
      <c r="AG45" s="162">
        <f>SUMIF(AZ9:AZ104,CONCATENATE("=",AC45),BA9:BA104)+SUMIF(AV9:AV104,CONCATENATE("=",AC45),AW9:AW104)</f>
        <v>4</v>
      </c>
      <c r="AH45" s="162">
        <f>SUMIF(BB9:BB104,CONCATENATE("=",AC45),BC9:BC104)+SUMIF(AX9:AX104,CONCATENATE("=",AC45),AY9:AY104)</f>
        <v>10</v>
      </c>
      <c r="AI45" s="162">
        <f>AD45*3+AE45</f>
        <v>0</v>
      </c>
      <c r="AJ45" s="162">
        <f>0.3+AG45+(AG45-AH45)*100+AD45*1000+AI45*10000000+AS45*10000</f>
        <v>-595.70000000000005</v>
      </c>
      <c r="AK45" s="161">
        <f>IF(COUNTIF(AI44:AI47,CONCATENATE("=",AI45))=1,0,COUNTIF(AI44:AI47,CONCATENATE("=",AI45)))*AI45</f>
        <v>0</v>
      </c>
      <c r="AN45" s="162">
        <f>IF(AI45=AM44,1,0)</f>
        <v>0</v>
      </c>
      <c r="AO45" s="162">
        <f>COUNTIF(BF9:BG104,CONCATENATE(AC45,"_win"))</f>
        <v>0</v>
      </c>
      <c r="AP45" s="162">
        <f>SUMIF(BL9:BL104,CONCATENATE("=",AC45),BM9:BM104)*1.01+SUMIF(BH9:BH104,CONCATENATE("=",AC45),BI9:BI104)</f>
        <v>0</v>
      </c>
      <c r="AQ45" s="162">
        <f>SUMIF(BN9:BN104,CONCATENATE("=",AC45),BO9:BO104)+SUMIF(BJ9:BJ104,CONCATENATE("=",AC45),BK9:BK104)</f>
        <v>0</v>
      </c>
      <c r="AR45" s="161">
        <f>300*AO45+(AP45-AQ45)*10+AP45</f>
        <v>0</v>
      </c>
      <c r="AS45" s="161">
        <f>IF(AR45&gt;0,AR45,0)</f>
        <v>0</v>
      </c>
      <c r="AU45" s="161">
        <f>VLOOKUP(Y21,AC9:AN61,12,FALSE)+VLOOKUP(V21,AC9:AN61,12,FALSE)</f>
        <v>1</v>
      </c>
      <c r="AV45" s="161" t="str">
        <f t="shared" ref="AV45:AV56" si="105">V21</f>
        <v>Viktoria Plzeň</v>
      </c>
      <c r="AW45" s="161">
        <f t="shared" ref="AW45:AW56" si="106">W21</f>
        <v>0</v>
      </c>
      <c r="AX45" s="161" t="str">
        <f t="shared" ref="AX45:AX56" si="107">V21</f>
        <v>Viktoria Plzeň</v>
      </c>
      <c r="AY45" s="161">
        <f t="shared" ref="AY45:AY56" si="108">X21</f>
        <v>3</v>
      </c>
      <c r="AZ45" s="161" t="str">
        <f t="shared" ref="AZ45:AZ56" si="109">Y21</f>
        <v>Manchester City</v>
      </c>
      <c r="BA45" s="161">
        <f t="shared" ref="BA45:BA56" si="110">X21</f>
        <v>3</v>
      </c>
      <c r="BB45" s="161" t="str">
        <f t="shared" ref="BB45:BB56" si="111">Y21</f>
        <v>Manchester City</v>
      </c>
      <c r="BC45" s="161">
        <f t="shared" ref="BC45:BC56" si="112">W21</f>
        <v>0</v>
      </c>
      <c r="BD45" s="161" t="str">
        <f t="shared" ref="BD45:BD56" si="113">IF(W21="","",IF(X21="","",IF(W21&gt;X21,CONCATENATE(V21,"_win"),IF(W21&lt;X21,CONCATENATE(V21,"_lose"),CONCATENATE(V21,"_draw")))))</f>
        <v>Viktoria Plzeň_lose</v>
      </c>
      <c r="BE45" s="161" t="str">
        <f t="shared" ref="BE45:BE56" si="114">IF(W21="","",IF(X21="","",IF(W21&gt;X21,CONCATENATE(Y21,"_lose"),IF(W21&lt;X21,CONCATENATE(Y21,"_win"),CONCATENATE(Y21,"_draw")))))</f>
        <v>Manchester City_win</v>
      </c>
      <c r="BF45" s="161" t="str">
        <f t="shared" ref="BF45:BF56" si="115">IF(AU45=2,IF(W21="","",IF(X21="","",IF(W21&gt;X21,CONCATENATE(V21,"_win"),IF(W21&lt;X21,CONCATENATE(V21,"_lose"),CONCATENATE(V21,"_draw"))))),"")</f>
        <v/>
      </c>
      <c r="BG45" s="161" t="str">
        <f t="shared" ref="BG45:BG56" si="116">IF(AU45=2,IF(W21="","",IF(X21="","",IF(W21&gt;X21,CONCATENATE(Y21,"_lose"),IF(W21&lt;X21,CONCATENATE(Y21,"_win"),CONCATENATE(Y21,"_draw"))))),"")</f>
        <v/>
      </c>
      <c r="BH45" s="161" t="str">
        <f t="shared" si="15"/>
        <v/>
      </c>
      <c r="BI45" s="161" t="str">
        <f t="shared" si="16"/>
        <v/>
      </c>
      <c r="BJ45" s="161" t="str">
        <f t="shared" si="17"/>
        <v/>
      </c>
      <c r="BK45" s="161" t="str">
        <f t="shared" si="18"/>
        <v/>
      </c>
      <c r="BL45" s="161" t="str">
        <f t="shared" si="19"/>
        <v/>
      </c>
      <c r="BM45" s="161" t="str">
        <f t="shared" si="20"/>
        <v/>
      </c>
      <c r="BN45" s="161" t="str">
        <f t="shared" si="21"/>
        <v/>
      </c>
      <c r="BO45" s="161" t="str">
        <f t="shared" si="22"/>
        <v/>
      </c>
      <c r="BU45" s="161">
        <f>IF(RIGHT(BD81,3)="win",3,IF(RIGHT(BD81,3)="raw",1,IF(RIGHT(BD81,3)="ose",-1,0)))</f>
        <v>3</v>
      </c>
      <c r="BV45" s="161">
        <f>IF(RIGHT(BE81,3)="win",3,IF(RIGHT(BE81,3)="raw",1,IF(RIGHT(BE81,3)="ose",-1,0)))</f>
        <v>-1</v>
      </c>
      <c r="BW45" s="161">
        <f>IF(RIGHT(BD93,3)="win",3,IF(RIGHT(BD93,3)="raw",1,IF(RIGHT(BD93,3)="ose",-1,0)))</f>
        <v>3</v>
      </c>
      <c r="BX45" s="161">
        <f>IF(RIGHT(BE93,3)="win",3,IF(RIGHT(BE93,3)="raw",1,IF(RIGHT(BE93,3)="ose",-1,0)))</f>
        <v>-1</v>
      </c>
    </row>
    <row r="46" spans="1:76" ht="16.5" customHeight="1" x14ac:dyDescent="0.2">
      <c r="A46" s="167"/>
      <c r="B46" s="136" t="str">
        <f>INDEX(T,23,langID)</f>
        <v>Sep</v>
      </c>
      <c r="C46" s="137">
        <v>18</v>
      </c>
      <c r="D46" s="137">
        <v>2013</v>
      </c>
      <c r="E46" s="138">
        <v>0.86458333333333337</v>
      </c>
      <c r="F46" s="140" t="str">
        <f>AC52</f>
        <v>Austria Wien</v>
      </c>
      <c r="G46" s="156">
        <v>0</v>
      </c>
      <c r="H46" s="157">
        <v>1</v>
      </c>
      <c r="I46" s="139" t="str">
        <f>AC53</f>
        <v>Porto</v>
      </c>
      <c r="J46" s="19"/>
      <c r="K46" s="25" t="str">
        <f>VLOOKUP(2,AB44:AI47,2,FALSE)</f>
        <v>Borussia Dortmund</v>
      </c>
      <c r="L46" s="26">
        <f>VLOOKUP(2,AB44:AI47,3,FALSE)</f>
        <v>2</v>
      </c>
      <c r="M46" s="26">
        <f>VLOOKUP(2,AB44:AI47,4,FALSE)</f>
        <v>0</v>
      </c>
      <c r="N46" s="26">
        <f>VLOOKUP(2,AB44:AI47,5,FALSE)</f>
        <v>2</v>
      </c>
      <c r="O46" s="26" t="str">
        <f>CONCATENATE(VLOOKUP(2,AB44:AI47,6,FALSE)," - ",VLOOKUP(2,AB44:AI47,7,FALSE))</f>
        <v>6 - 4</v>
      </c>
      <c r="P46" s="27">
        <f>VLOOKUP(2,AB44:AI47,8,FALSE)</f>
        <v>6</v>
      </c>
      <c r="Q46" s="19"/>
      <c r="R46" s="136" t="str">
        <f t="shared" si="23"/>
        <v>Sep</v>
      </c>
      <c r="S46" s="137">
        <f t="shared" si="0"/>
        <v>18</v>
      </c>
      <c r="T46" s="137">
        <f t="shared" si="1"/>
        <v>2013</v>
      </c>
      <c r="U46" s="138">
        <f t="shared" si="2"/>
        <v>0.86458333333333337</v>
      </c>
      <c r="V46" s="140" t="str">
        <f>AC59</f>
        <v>Milan</v>
      </c>
      <c r="W46" s="156">
        <v>2</v>
      </c>
      <c r="X46" s="157">
        <v>0</v>
      </c>
      <c r="Y46" s="147" t="str">
        <f>AC60</f>
        <v>Celtic</v>
      </c>
      <c r="Z46" s="179"/>
      <c r="AB46" s="160">
        <f>IF(AJ46&gt;AJ44,1,0)+IF(AJ46&gt;AJ45,1,0)+IF(AJ46&gt;AJ46,1,0)+IF(AJ46&gt;AJ47,1,0)+1</f>
        <v>4</v>
      </c>
      <c r="AC46" s="161" t="str">
        <f>INDEX(T,49,langID)</f>
        <v>Arsenal</v>
      </c>
      <c r="AD46" s="162">
        <f>COUNTIF(BD9:BE104,CONCATENATE(AC46,"_win"))</f>
        <v>3</v>
      </c>
      <c r="AE46" s="162">
        <f>COUNTIF(BD9:BE104,CONCATENATE(AC46,"_draw"))</f>
        <v>0</v>
      </c>
      <c r="AF46" s="162">
        <f>COUNTIF(BD9:BE104,CONCATENATE(AC46,"_lose"))</f>
        <v>1</v>
      </c>
      <c r="AG46" s="162">
        <f>SUMIF(AZ9:AZ104,CONCATENATE("=",AC46),BA9:BA104)+SUMIF(AV9:AV104,CONCATENATE("=",AC46),AW9:AW104)</f>
        <v>6</v>
      </c>
      <c r="AH46" s="162">
        <f>SUMIF(BB9:BB104,CONCATENATE("=",AC46),BC9:BC104)+SUMIF(AX9:AX104,CONCATENATE("=",AC46),AY9:AY104)</f>
        <v>3</v>
      </c>
      <c r="AI46" s="162">
        <f>AD46*3+AE46</f>
        <v>9</v>
      </c>
      <c r="AJ46" s="162">
        <f>0.2+AG46+(AG46-AH46)*100+AD46*1000+AI46*10000000+AS46*10000</f>
        <v>93223306.200000003</v>
      </c>
      <c r="AK46" s="161">
        <f>IF(COUNTIF(AI44:AI47,CONCATENATE("=",AI46))=1,0,COUNTIF(AI44:AI47,CONCATENATE("=",AI46)))*AI46</f>
        <v>18</v>
      </c>
      <c r="AN46" s="162">
        <f>IF(AI46=AM44,1,0)</f>
        <v>1</v>
      </c>
      <c r="AO46" s="162">
        <f>COUNTIF(BF9:BG104,CONCATENATE(AC46,"_win"))</f>
        <v>1</v>
      </c>
      <c r="AP46" s="162">
        <f>SUMIF(BL9:BL104,CONCATENATE("=",AC46),BM9:BM104)*1.01+SUMIF(BH9:BH104,CONCATENATE("=",AC46),BI9:BI104)</f>
        <v>2</v>
      </c>
      <c r="AQ46" s="162">
        <f>SUMIF(BN9:BN104,CONCATENATE("=",AC46),BO9:BO104)+SUMIF(BJ9:BJ104,CONCATENATE("=",AC46),BK9:BK104)</f>
        <v>0</v>
      </c>
      <c r="AR46" s="161">
        <f>300*AO46+(AP46-AQ46)*10+AP46</f>
        <v>322</v>
      </c>
      <c r="AS46" s="161">
        <f>IF(AR46&gt;0,AR46,0)</f>
        <v>322</v>
      </c>
      <c r="AU46" s="161">
        <f>VLOOKUP(Y22,AC9:AN61,12,FALSE)+VLOOKUP(V22,AC9:AN61,12,FALSE)</f>
        <v>0</v>
      </c>
      <c r="AV46" s="161" t="str">
        <f t="shared" si="105"/>
        <v>Bayern München</v>
      </c>
      <c r="AW46" s="161">
        <f t="shared" si="106"/>
        <v>3</v>
      </c>
      <c r="AX46" s="161" t="str">
        <f t="shared" si="107"/>
        <v>Bayern München</v>
      </c>
      <c r="AY46" s="161">
        <f t="shared" si="108"/>
        <v>0</v>
      </c>
      <c r="AZ46" s="161" t="str">
        <f t="shared" si="109"/>
        <v>CSKA Moskva</v>
      </c>
      <c r="BA46" s="161">
        <f t="shared" si="110"/>
        <v>0</v>
      </c>
      <c r="BB46" s="161" t="str">
        <f t="shared" si="111"/>
        <v>CSKA Moskva</v>
      </c>
      <c r="BC46" s="161">
        <f t="shared" si="112"/>
        <v>3</v>
      </c>
      <c r="BD46" s="161" t="str">
        <f t="shared" si="113"/>
        <v>Bayern München_win</v>
      </c>
      <c r="BE46" s="161" t="str">
        <f t="shared" si="114"/>
        <v>CSKA Moskva_lose</v>
      </c>
      <c r="BF46" s="161" t="str">
        <f t="shared" si="115"/>
        <v/>
      </c>
      <c r="BG46" s="161" t="str">
        <f t="shared" si="116"/>
        <v/>
      </c>
      <c r="BH46" s="161" t="str">
        <f t="shared" si="15"/>
        <v/>
      </c>
      <c r="BI46" s="161" t="str">
        <f t="shared" si="16"/>
        <v/>
      </c>
      <c r="BJ46" s="161" t="str">
        <f t="shared" si="17"/>
        <v/>
      </c>
      <c r="BK46" s="161" t="str">
        <f t="shared" si="18"/>
        <v/>
      </c>
      <c r="BL46" s="161" t="str">
        <f t="shared" si="19"/>
        <v/>
      </c>
      <c r="BM46" s="161" t="str">
        <f t="shared" si="20"/>
        <v/>
      </c>
      <c r="BN46" s="161" t="str">
        <f t="shared" si="21"/>
        <v/>
      </c>
      <c r="BO46" s="161" t="str">
        <f t="shared" si="22"/>
        <v/>
      </c>
      <c r="BU46" s="161">
        <f t="shared" ref="BU46:BV46" si="117">IF(RIGHT(BD82,3)="win",3,IF(RIGHT(BD82,3)="raw",1,IF(RIGHT(BD82,3)="ose",-1,0)))</f>
        <v>-1</v>
      </c>
      <c r="BV46" s="161">
        <f t="shared" si="117"/>
        <v>3</v>
      </c>
      <c r="BW46" s="161">
        <f t="shared" ref="BW46:BX46" si="118">IF(RIGHT(BD94,3)="win",3,IF(RIGHT(BD94,3)="raw",1,IF(RIGHT(BD94,3)="ose",-1,0)))</f>
        <v>3</v>
      </c>
      <c r="BX46" s="161">
        <f t="shared" si="118"/>
        <v>-1</v>
      </c>
    </row>
    <row r="47" spans="1:76" ht="16.5" customHeight="1" x14ac:dyDescent="0.2">
      <c r="A47" s="167"/>
      <c r="B47" s="136" t="str">
        <f>INDEX(T,24,langID)</f>
        <v>Oct</v>
      </c>
      <c r="C47" s="137">
        <v>1</v>
      </c>
      <c r="D47" s="137">
        <v>2013</v>
      </c>
      <c r="E47" s="138">
        <v>0.86458333333333337</v>
      </c>
      <c r="F47" s="140" t="str">
        <f>AC53</f>
        <v>Porto</v>
      </c>
      <c r="G47" s="156">
        <v>1</v>
      </c>
      <c r="H47" s="157">
        <v>2</v>
      </c>
      <c r="I47" s="139" t="str">
        <f>AC54</f>
        <v>Atlético de Madrid</v>
      </c>
      <c r="J47" s="19"/>
      <c r="K47" s="31" t="str">
        <f>VLOOKUP(1,AB44:AI47,2,FALSE)</f>
        <v>Olympique de Marseille</v>
      </c>
      <c r="L47" s="32">
        <f>VLOOKUP(1,AB44:AI47,3,FALSE)</f>
        <v>0</v>
      </c>
      <c r="M47" s="32">
        <f>VLOOKUP(1,AB44:AI47,4,FALSE)</f>
        <v>0</v>
      </c>
      <c r="N47" s="32">
        <f>VLOOKUP(1,AB44:AI47,5,FALSE)</f>
        <v>4</v>
      </c>
      <c r="O47" s="32" t="str">
        <f>CONCATENATE(VLOOKUP(1,AB44:AI47,6,FALSE)," - ",VLOOKUP(1,AB44:AI47,7,FALSE))</f>
        <v>4 - 10</v>
      </c>
      <c r="P47" s="33">
        <f>VLOOKUP(1,AB44:AI47,8,FALSE)</f>
        <v>0</v>
      </c>
      <c r="Q47" s="19"/>
      <c r="R47" s="136" t="str">
        <f t="shared" si="23"/>
        <v>Oct</v>
      </c>
      <c r="S47" s="137">
        <f t="shared" si="0"/>
        <v>1</v>
      </c>
      <c r="T47" s="137">
        <f t="shared" si="1"/>
        <v>2013</v>
      </c>
      <c r="U47" s="138">
        <f t="shared" si="2"/>
        <v>0.86458333333333337</v>
      </c>
      <c r="V47" s="140" t="str">
        <f>AC60</f>
        <v>Celtic</v>
      </c>
      <c r="W47" s="156">
        <v>0</v>
      </c>
      <c r="X47" s="157">
        <v>1</v>
      </c>
      <c r="Y47" s="147" t="str">
        <f>AC61</f>
        <v>Barcelona</v>
      </c>
      <c r="Z47" s="179"/>
      <c r="AB47" s="160">
        <f>IF(AJ47&gt;AJ44,1,0)+IF(AJ47&gt;AJ45,1,0)+IF(AJ47&gt;AJ46,1,0)+IF(AJ47&gt;AJ47,1,0)+1</f>
        <v>3</v>
      </c>
      <c r="AC47" s="161" t="str">
        <f>INDEX(T,50,langID)</f>
        <v>Napoli</v>
      </c>
      <c r="AD47" s="162">
        <f>COUNTIF(BD9:BE104,CONCATENATE(AC47,"_win"))</f>
        <v>3</v>
      </c>
      <c r="AE47" s="162">
        <f>COUNTIF(BD9:BE104,CONCATENATE(AC47,"_draw"))</f>
        <v>0</v>
      </c>
      <c r="AF47" s="162">
        <f>COUNTIF(BD9:BE104,CONCATENATE(AC47,"_lose"))</f>
        <v>1</v>
      </c>
      <c r="AG47" s="162">
        <f>SUMIF(AZ9:AZ104,CONCATENATE("=",AC47),BA9:BA104)+SUMIF(AV9:AV104,CONCATENATE("=",AC47),AW9:AW104)</f>
        <v>7</v>
      </c>
      <c r="AH47" s="162">
        <f>SUMIF(BB9:BB104,CONCATENATE("=",AC47),BC9:BC104)+SUMIF(AX9:AX104,CONCATENATE("=",AC47),AY9:AY104)</f>
        <v>6</v>
      </c>
      <c r="AI47" s="162">
        <f>AD47*3+AE47</f>
        <v>9</v>
      </c>
      <c r="AJ47" s="162">
        <f>0.1+AG47+(AG47-AH47)*100+AD47*1000+AI47*10000000+AS47*10000</f>
        <v>90003107.099999994</v>
      </c>
      <c r="AK47" s="161">
        <f>IF(COUNTIF(AI44:AI47,CONCATENATE("=",AI47))=1,0,COUNTIF(AI44:AI47,CONCATENATE("=",AI47)))*AI47</f>
        <v>18</v>
      </c>
      <c r="AN47" s="162">
        <f>IF(AI47=AM44,1,0)</f>
        <v>1</v>
      </c>
      <c r="AO47" s="162">
        <f>COUNTIF(BF9:BG104,CONCATENATE(AC47,"_win"))</f>
        <v>0</v>
      </c>
      <c r="AP47" s="162">
        <f>SUMIF(BL9:BL104,CONCATENATE("=",AC47),BM9:BM104)*1.01+SUMIF(BH9:BH104,CONCATENATE("=",AC47),BI9:BI104)</f>
        <v>0</v>
      </c>
      <c r="AQ47" s="162">
        <f>SUMIF(BN9:BN104,CONCATENATE("=",AC47),BO9:BO104)+SUMIF(BJ9:BJ104,CONCATENATE("=",AC47),BK9:BK104)</f>
        <v>2</v>
      </c>
      <c r="AR47" s="161">
        <f>300*AO47+(AP47-AQ47)*10+AP47</f>
        <v>-20</v>
      </c>
      <c r="AS47" s="161">
        <f>IF(AR47&gt;0,AR47,0)</f>
        <v>0</v>
      </c>
      <c r="AU47" s="161">
        <f>VLOOKUP(Y23,AC9:AN61,12,FALSE)+VLOOKUP(V23,AC9:AN61,12,FALSE)</f>
        <v>0</v>
      </c>
      <c r="AV47" s="161" t="str">
        <f t="shared" si="105"/>
        <v>CSKA Moskva</v>
      </c>
      <c r="AW47" s="161">
        <f t="shared" si="106"/>
        <v>3</v>
      </c>
      <c r="AX47" s="161" t="str">
        <f t="shared" si="107"/>
        <v>CSKA Moskva</v>
      </c>
      <c r="AY47" s="161">
        <f t="shared" si="108"/>
        <v>2</v>
      </c>
      <c r="AZ47" s="161" t="str">
        <f t="shared" si="109"/>
        <v>Viktoria Plzeň</v>
      </c>
      <c r="BA47" s="161">
        <f t="shared" si="110"/>
        <v>2</v>
      </c>
      <c r="BB47" s="161" t="str">
        <f t="shared" si="111"/>
        <v>Viktoria Plzeň</v>
      </c>
      <c r="BC47" s="161">
        <f t="shared" si="112"/>
        <v>3</v>
      </c>
      <c r="BD47" s="161" t="str">
        <f t="shared" si="113"/>
        <v>CSKA Moskva_win</v>
      </c>
      <c r="BE47" s="161" t="str">
        <f t="shared" si="114"/>
        <v>Viktoria Plzeň_lose</v>
      </c>
      <c r="BF47" s="161" t="str">
        <f t="shared" si="115"/>
        <v/>
      </c>
      <c r="BG47" s="161" t="str">
        <f t="shared" si="116"/>
        <v/>
      </c>
      <c r="BH47" s="161" t="str">
        <f t="shared" si="15"/>
        <v/>
      </c>
      <c r="BI47" s="161" t="str">
        <f t="shared" si="16"/>
        <v/>
      </c>
      <c r="BJ47" s="161" t="str">
        <f t="shared" si="17"/>
        <v/>
      </c>
      <c r="BK47" s="161" t="str">
        <f t="shared" si="18"/>
        <v/>
      </c>
      <c r="BL47" s="161" t="str">
        <f t="shared" si="19"/>
        <v/>
      </c>
      <c r="BM47" s="161" t="str">
        <f t="shared" si="20"/>
        <v/>
      </c>
      <c r="BN47" s="161" t="str">
        <f t="shared" si="21"/>
        <v/>
      </c>
      <c r="BO47" s="161" t="str">
        <f t="shared" si="22"/>
        <v/>
      </c>
      <c r="BU47" s="161">
        <f t="shared" ref="BU47:BV47" si="119">IF(RIGHT(BD83,3)="win",3,IF(RIGHT(BD83,3)="raw",1,IF(RIGHT(BD83,3)="ose",-1,0)))</f>
        <v>-1</v>
      </c>
      <c r="BV47" s="161">
        <f t="shared" si="119"/>
        <v>3</v>
      </c>
      <c r="BW47" s="161">
        <f t="shared" ref="BW47:BX47" si="120">IF(RIGHT(BD95,3)="win",3,IF(RIGHT(BD95,3)="raw",1,IF(RIGHT(BD95,3)="ose",-1,0)))</f>
        <v>-1</v>
      </c>
      <c r="BX47" s="161">
        <f t="shared" si="120"/>
        <v>3</v>
      </c>
    </row>
    <row r="48" spans="1:76" ht="16.5" customHeight="1" x14ac:dyDescent="0.2">
      <c r="A48" s="167"/>
      <c r="B48" s="136" t="str">
        <f>INDEX(T,24,langID)</f>
        <v>Oct</v>
      </c>
      <c r="C48" s="137">
        <v>1</v>
      </c>
      <c r="D48" s="137">
        <v>2013</v>
      </c>
      <c r="E48" s="138">
        <v>0.75</v>
      </c>
      <c r="F48" s="140" t="str">
        <f>AC51</f>
        <v>Zenit</v>
      </c>
      <c r="G48" s="156">
        <v>0</v>
      </c>
      <c r="H48" s="157">
        <v>0</v>
      </c>
      <c r="I48" s="139" t="str">
        <f>AC52</f>
        <v>Austria Wien</v>
      </c>
      <c r="J48" s="19"/>
      <c r="K48" s="19"/>
      <c r="L48" s="34"/>
      <c r="M48" s="34"/>
      <c r="N48" s="34"/>
      <c r="O48" s="34"/>
      <c r="P48" s="34"/>
      <c r="Q48" s="19"/>
      <c r="R48" s="136" t="str">
        <f t="shared" si="23"/>
        <v>Oct</v>
      </c>
      <c r="S48" s="137">
        <f t="shared" si="0"/>
        <v>1</v>
      </c>
      <c r="T48" s="137">
        <f t="shared" si="1"/>
        <v>2013</v>
      </c>
      <c r="U48" s="138">
        <f t="shared" si="2"/>
        <v>0.75</v>
      </c>
      <c r="V48" s="140" t="str">
        <f>AC58</f>
        <v>Ajax</v>
      </c>
      <c r="W48" s="156">
        <v>1</v>
      </c>
      <c r="X48" s="157">
        <v>1</v>
      </c>
      <c r="Y48" s="147" t="str">
        <f>AC59</f>
        <v>Milan</v>
      </c>
      <c r="Z48" s="179"/>
      <c r="AK48" s="161">
        <f>MAX(AK44:AK47)</f>
        <v>18</v>
      </c>
      <c r="AU48" s="161">
        <f>VLOOKUP(Y24,AC9:AN61,12,FALSE)+VLOOKUP(V24,AC9:AN61,12,FALSE)</f>
        <v>1</v>
      </c>
      <c r="AV48" s="161" t="str">
        <f t="shared" si="105"/>
        <v>Manchester City</v>
      </c>
      <c r="AW48" s="161">
        <f t="shared" si="106"/>
        <v>1</v>
      </c>
      <c r="AX48" s="161" t="str">
        <f t="shared" si="107"/>
        <v>Manchester City</v>
      </c>
      <c r="AY48" s="161">
        <f t="shared" si="108"/>
        <v>3</v>
      </c>
      <c r="AZ48" s="161" t="str">
        <f t="shared" si="109"/>
        <v>Bayern München</v>
      </c>
      <c r="BA48" s="161">
        <f t="shared" si="110"/>
        <v>3</v>
      </c>
      <c r="BB48" s="161" t="str">
        <f t="shared" si="111"/>
        <v>Bayern München</v>
      </c>
      <c r="BC48" s="161">
        <f t="shared" si="112"/>
        <v>1</v>
      </c>
      <c r="BD48" s="161" t="str">
        <f t="shared" si="113"/>
        <v>Manchester City_lose</v>
      </c>
      <c r="BE48" s="161" t="str">
        <f t="shared" si="114"/>
        <v>Bayern München_win</v>
      </c>
      <c r="BF48" s="161" t="str">
        <f t="shared" si="115"/>
        <v/>
      </c>
      <c r="BG48" s="161" t="str">
        <f t="shared" si="116"/>
        <v/>
      </c>
      <c r="BH48" s="161" t="str">
        <f t="shared" si="15"/>
        <v/>
      </c>
      <c r="BI48" s="161" t="str">
        <f t="shared" si="16"/>
        <v/>
      </c>
      <c r="BJ48" s="161" t="str">
        <f t="shared" si="17"/>
        <v/>
      </c>
      <c r="BK48" s="161" t="str">
        <f t="shared" si="18"/>
        <v/>
      </c>
      <c r="BL48" s="161" t="str">
        <f t="shared" si="19"/>
        <v/>
      </c>
      <c r="BM48" s="161" t="str">
        <f t="shared" si="20"/>
        <v/>
      </c>
      <c r="BN48" s="161" t="str">
        <f t="shared" si="21"/>
        <v/>
      </c>
      <c r="BO48" s="161" t="str">
        <f t="shared" si="22"/>
        <v/>
      </c>
      <c r="BU48" s="161">
        <f t="shared" ref="BU48:BV48" si="121">IF(RIGHT(BD84,3)="win",3,IF(RIGHT(BD84,3)="raw",1,IF(RIGHT(BD84,3)="ose",-1,0)))</f>
        <v>1</v>
      </c>
      <c r="BV48" s="161">
        <f t="shared" si="121"/>
        <v>1</v>
      </c>
      <c r="BW48" s="161">
        <f t="shared" ref="BW48:BX48" si="122">IF(RIGHT(BD96,3)="win",3,IF(RIGHT(BD96,3)="raw",1,IF(RIGHT(BD96,3)="ose",-1,0)))</f>
        <v>1</v>
      </c>
      <c r="BX48" s="161">
        <f t="shared" si="122"/>
        <v>1</v>
      </c>
    </row>
    <row r="49" spans="1:76" ht="16.5" customHeight="1" x14ac:dyDescent="0.2">
      <c r="A49" s="167"/>
      <c r="B49" s="136" t="str">
        <f>INDEX(T,24,langID)</f>
        <v>Oct</v>
      </c>
      <c r="C49" s="137">
        <v>22</v>
      </c>
      <c r="D49" s="137">
        <v>2013</v>
      </c>
      <c r="E49" s="138">
        <v>0.86458333333333337</v>
      </c>
      <c r="F49" s="140" t="str">
        <f>AC53</f>
        <v>Porto</v>
      </c>
      <c r="G49" s="156">
        <v>0</v>
      </c>
      <c r="H49" s="157">
        <v>1</v>
      </c>
      <c r="I49" s="139" t="str">
        <f>AC51</f>
        <v>Zenit</v>
      </c>
      <c r="J49" s="19"/>
      <c r="K49" s="173" t="str">
        <f>INDEX(T,4,langID) &amp; " G"</f>
        <v>Group G</v>
      </c>
      <c r="L49" s="175" t="str">
        <f>INDEX(T,7,langID)</f>
        <v>Win</v>
      </c>
      <c r="M49" s="175" t="str">
        <f>INDEX(T,8,langID)</f>
        <v>Draw</v>
      </c>
      <c r="N49" s="175" t="str">
        <f>INDEX(T,9,langID)</f>
        <v>Lose</v>
      </c>
      <c r="O49" s="175" t="str">
        <f>INDEX(T,10,langID)</f>
        <v>F - A</v>
      </c>
      <c r="P49" s="189" t="str">
        <f>INDEX(T,11,langID)</f>
        <v>Pts</v>
      </c>
      <c r="Q49" s="19"/>
      <c r="R49" s="136" t="str">
        <f t="shared" si="23"/>
        <v>Oct</v>
      </c>
      <c r="S49" s="137">
        <f t="shared" si="0"/>
        <v>22</v>
      </c>
      <c r="T49" s="137">
        <f t="shared" si="1"/>
        <v>2013</v>
      </c>
      <c r="U49" s="138">
        <f t="shared" si="2"/>
        <v>0.86458333333333337</v>
      </c>
      <c r="V49" s="140" t="str">
        <f>AC60</f>
        <v>Celtic</v>
      </c>
      <c r="W49" s="156">
        <v>2</v>
      </c>
      <c r="X49" s="157">
        <v>1</v>
      </c>
      <c r="Y49" s="147" t="str">
        <f>AC58</f>
        <v>Ajax</v>
      </c>
      <c r="Z49" s="179"/>
      <c r="AU49" s="161">
        <f>VLOOKUP(Y25,AC9:AN61,12,FALSE)+VLOOKUP(V25,AC9:AN61,12,FALSE)</f>
        <v>1</v>
      </c>
      <c r="AV49" s="161" t="str">
        <f t="shared" si="105"/>
        <v>CSKA Moskva</v>
      </c>
      <c r="AW49" s="161">
        <f t="shared" si="106"/>
        <v>1</v>
      </c>
      <c r="AX49" s="161" t="str">
        <f t="shared" si="107"/>
        <v>CSKA Moskva</v>
      </c>
      <c r="AY49" s="161">
        <f t="shared" si="108"/>
        <v>2</v>
      </c>
      <c r="AZ49" s="161" t="str">
        <f t="shared" si="109"/>
        <v>Manchester City</v>
      </c>
      <c r="BA49" s="161">
        <f t="shared" si="110"/>
        <v>2</v>
      </c>
      <c r="BB49" s="161" t="str">
        <f t="shared" si="111"/>
        <v>Manchester City</v>
      </c>
      <c r="BC49" s="161">
        <f t="shared" si="112"/>
        <v>1</v>
      </c>
      <c r="BD49" s="161" t="str">
        <f t="shared" si="113"/>
        <v>CSKA Moskva_lose</v>
      </c>
      <c r="BE49" s="161" t="str">
        <f t="shared" si="114"/>
        <v>Manchester City_win</v>
      </c>
      <c r="BF49" s="161" t="str">
        <f t="shared" si="115"/>
        <v/>
      </c>
      <c r="BG49" s="161" t="str">
        <f t="shared" si="116"/>
        <v/>
      </c>
      <c r="BH49" s="161" t="str">
        <f t="shared" si="15"/>
        <v/>
      </c>
      <c r="BI49" s="161" t="str">
        <f t="shared" si="16"/>
        <v/>
      </c>
      <c r="BJ49" s="161" t="str">
        <f t="shared" si="17"/>
        <v/>
      </c>
      <c r="BK49" s="161" t="str">
        <f t="shared" si="18"/>
        <v/>
      </c>
      <c r="BL49" s="161" t="str">
        <f t="shared" si="19"/>
        <v/>
      </c>
      <c r="BM49" s="161" t="str">
        <f t="shared" si="20"/>
        <v/>
      </c>
      <c r="BN49" s="161" t="str">
        <f t="shared" si="21"/>
        <v/>
      </c>
      <c r="BO49" s="161" t="str">
        <f t="shared" si="22"/>
        <v/>
      </c>
      <c r="BU49" s="161">
        <f t="shared" ref="BU49:BV49" si="123">IF(RIGHT(BD85,3)="win",3,IF(RIGHT(BD85,3)="raw",1,IF(RIGHT(BD85,3)="ose",-1,0)))</f>
        <v>-1</v>
      </c>
      <c r="BV49" s="161">
        <f t="shared" si="123"/>
        <v>3</v>
      </c>
      <c r="BW49" s="161">
        <f t="shared" ref="BW49:BX49" si="124">IF(RIGHT(BD97,3)="win",3,IF(RIGHT(BD97,3)="raw",1,IF(RIGHT(BD97,3)="ose",-1,0)))</f>
        <v>3</v>
      </c>
      <c r="BX49" s="161">
        <f t="shared" si="124"/>
        <v>-1</v>
      </c>
    </row>
    <row r="50" spans="1:76" ht="16.5" customHeight="1" x14ac:dyDescent="0.2">
      <c r="A50" s="167"/>
      <c r="B50" s="136" t="str">
        <f>INDEX(T,24,langID)</f>
        <v>Oct</v>
      </c>
      <c r="C50" s="137">
        <v>22</v>
      </c>
      <c r="D50" s="137">
        <v>2013</v>
      </c>
      <c r="E50" s="138">
        <v>0.86458333333333337</v>
      </c>
      <c r="F50" s="140" t="str">
        <f>AC52</f>
        <v>Austria Wien</v>
      </c>
      <c r="G50" s="156">
        <v>0</v>
      </c>
      <c r="H50" s="157">
        <v>3</v>
      </c>
      <c r="I50" s="139" t="str">
        <f>AC54</f>
        <v>Atlético de Madrid</v>
      </c>
      <c r="J50" s="19"/>
      <c r="K50" s="174"/>
      <c r="L50" s="176"/>
      <c r="M50" s="176"/>
      <c r="N50" s="176"/>
      <c r="O50" s="176"/>
      <c r="P50" s="190"/>
      <c r="Q50" s="19"/>
      <c r="R50" s="136" t="str">
        <f t="shared" si="23"/>
        <v>Oct</v>
      </c>
      <c r="S50" s="137">
        <f t="shared" si="0"/>
        <v>22</v>
      </c>
      <c r="T50" s="137">
        <f t="shared" si="1"/>
        <v>2013</v>
      </c>
      <c r="U50" s="138">
        <f t="shared" si="2"/>
        <v>0.86458333333333337</v>
      </c>
      <c r="V50" s="140" t="str">
        <f>AC59</f>
        <v>Milan</v>
      </c>
      <c r="W50" s="156">
        <v>1</v>
      </c>
      <c r="X50" s="157">
        <v>1</v>
      </c>
      <c r="Y50" s="147" t="str">
        <f>AC61</f>
        <v>Barcelona</v>
      </c>
      <c r="Z50" s="179"/>
      <c r="AU50" s="161">
        <f>VLOOKUP(Y26,AC9:AN61,12,FALSE)+VLOOKUP(V26,AC9:AN61,12,FALSE)</f>
        <v>0</v>
      </c>
      <c r="AV50" s="161" t="str">
        <f t="shared" si="105"/>
        <v>Bayern München</v>
      </c>
      <c r="AW50" s="161">
        <f t="shared" si="106"/>
        <v>5</v>
      </c>
      <c r="AX50" s="161" t="str">
        <f t="shared" si="107"/>
        <v>Bayern München</v>
      </c>
      <c r="AY50" s="161">
        <f t="shared" si="108"/>
        <v>0</v>
      </c>
      <c r="AZ50" s="161" t="str">
        <f t="shared" si="109"/>
        <v>Viktoria Plzeň</v>
      </c>
      <c r="BA50" s="161">
        <f t="shared" si="110"/>
        <v>0</v>
      </c>
      <c r="BB50" s="161" t="str">
        <f t="shared" si="111"/>
        <v>Viktoria Plzeň</v>
      </c>
      <c r="BC50" s="161">
        <f t="shared" si="112"/>
        <v>5</v>
      </c>
      <c r="BD50" s="161" t="str">
        <f t="shared" si="113"/>
        <v>Bayern München_win</v>
      </c>
      <c r="BE50" s="161" t="str">
        <f t="shared" si="114"/>
        <v>Viktoria Plzeň_lose</v>
      </c>
      <c r="BF50" s="161" t="str">
        <f t="shared" si="115"/>
        <v/>
      </c>
      <c r="BG50" s="161" t="str">
        <f t="shared" si="116"/>
        <v/>
      </c>
      <c r="BH50" s="161" t="str">
        <f t="shared" si="15"/>
        <v/>
      </c>
      <c r="BI50" s="161" t="str">
        <f t="shared" si="16"/>
        <v/>
      </c>
      <c r="BJ50" s="161" t="str">
        <f t="shared" si="17"/>
        <v/>
      </c>
      <c r="BK50" s="161" t="str">
        <f t="shared" si="18"/>
        <v/>
      </c>
      <c r="BL50" s="161" t="str">
        <f t="shared" si="19"/>
        <v/>
      </c>
      <c r="BM50" s="161" t="str">
        <f t="shared" si="20"/>
        <v/>
      </c>
      <c r="BN50" s="161" t="str">
        <f t="shared" si="21"/>
        <v/>
      </c>
      <c r="BO50" s="161" t="str">
        <f t="shared" si="22"/>
        <v/>
      </c>
      <c r="BU50" s="161">
        <f t="shared" ref="BU50:BV50" si="125">IF(RIGHT(BD86,3)="win",3,IF(RIGHT(BD86,3)="raw",1,IF(RIGHT(BD86,3)="ose",-1,0)))</f>
        <v>-1</v>
      </c>
      <c r="BV50" s="161">
        <f t="shared" si="125"/>
        <v>3</v>
      </c>
      <c r="BW50" s="161">
        <f t="shared" ref="BW50:BX50" si="126">IF(RIGHT(BD98,3)="win",3,IF(RIGHT(BD98,3)="raw",1,IF(RIGHT(BD98,3)="ose",-1,0)))</f>
        <v>1</v>
      </c>
      <c r="BX50" s="161">
        <f t="shared" si="126"/>
        <v>1</v>
      </c>
    </row>
    <row r="51" spans="1:76" ht="16.5" customHeight="1" x14ac:dyDescent="0.2">
      <c r="A51" s="167"/>
      <c r="B51" s="136" t="str">
        <f>INDEX(T,25,langID)</f>
        <v>Nov</v>
      </c>
      <c r="C51" s="137">
        <v>6</v>
      </c>
      <c r="D51" s="137">
        <v>2013</v>
      </c>
      <c r="E51" s="138">
        <v>0.75</v>
      </c>
      <c r="F51" s="140" t="str">
        <f>AC51</f>
        <v>Zenit</v>
      </c>
      <c r="G51" s="156">
        <v>1</v>
      </c>
      <c r="H51" s="157">
        <v>1</v>
      </c>
      <c r="I51" s="139" t="str">
        <f>AC53</f>
        <v>Porto</v>
      </c>
      <c r="J51" s="19"/>
      <c r="K51" s="22" t="str">
        <f>VLOOKUP(4,AB51:AI54,2,FALSE)</f>
        <v>Atlético de Madrid</v>
      </c>
      <c r="L51" s="23">
        <f>VLOOKUP(4,AB51:AI54,3,FALSE)</f>
        <v>4</v>
      </c>
      <c r="M51" s="23">
        <f>VLOOKUP(4,AB51:AI54,4,FALSE)</f>
        <v>0</v>
      </c>
      <c r="N51" s="23">
        <f>VLOOKUP(4,AB51:AI54,5,FALSE)</f>
        <v>0</v>
      </c>
      <c r="O51" s="23" t="str">
        <f>CONCATENATE(VLOOKUP(4,AB51:AI54,6,FALSE)," - ",VLOOKUP(4,AB51:AI54,7,FALSE))</f>
        <v>12 - 2</v>
      </c>
      <c r="P51" s="24">
        <f>VLOOKUP(4,AB51:AI54,8,FALSE)</f>
        <v>12</v>
      </c>
      <c r="Q51" s="19"/>
      <c r="R51" s="136" t="str">
        <f t="shared" si="23"/>
        <v>Nov</v>
      </c>
      <c r="S51" s="137">
        <f t="shared" si="0"/>
        <v>6</v>
      </c>
      <c r="T51" s="137">
        <f t="shared" si="1"/>
        <v>2013</v>
      </c>
      <c r="U51" s="138">
        <f t="shared" si="2"/>
        <v>0.75</v>
      </c>
      <c r="V51" s="140" t="str">
        <f>AC58</f>
        <v>Ajax</v>
      </c>
      <c r="W51" s="156">
        <v>1</v>
      </c>
      <c r="X51" s="157">
        <v>0</v>
      </c>
      <c r="Y51" s="147" t="str">
        <f>AC60</f>
        <v>Celtic</v>
      </c>
      <c r="Z51" s="179"/>
      <c r="AB51" s="160">
        <f>IF(AJ51&gt;AJ51,1,0)+IF(AJ51&gt;AJ52,1,0)+IF(AJ51&gt;AJ53,1,0)+IF(AJ51&gt;AJ54,1,0)+1</f>
        <v>3</v>
      </c>
      <c r="AC51" s="161" t="str">
        <f>INDEX(T,51,langID)</f>
        <v>Zenit</v>
      </c>
      <c r="AD51" s="162">
        <f>COUNTIF(BD9:BE104,CONCATENATE(AC51,"_win"))</f>
        <v>1</v>
      </c>
      <c r="AE51" s="162">
        <f>COUNTIF(BD9:BE104,CONCATENATE(AC51,"_draw"))</f>
        <v>2</v>
      </c>
      <c r="AF51" s="162">
        <f>COUNTIF(BD9:BE104,CONCATENATE(AC51,"_lose"))</f>
        <v>1</v>
      </c>
      <c r="AG51" s="162">
        <f>SUMIF(AZ9:AZ104,CONCATENATE("=",AC51),BA9:BA104)+SUMIF(AV9:AV104,CONCATENATE("=",AC51),AW9:AW104)</f>
        <v>3</v>
      </c>
      <c r="AH51" s="162">
        <f>SUMIF(BB9:BB104,CONCATENATE("=",AC51),BC9:BC104)+SUMIF(AX9:AX104,CONCATENATE("=",AC51),AY9:AY104)</f>
        <v>4</v>
      </c>
      <c r="AI51" s="162">
        <f>AD51*3+AE51</f>
        <v>5</v>
      </c>
      <c r="AJ51" s="162">
        <f>0.4+AG51+(AG51-AH51)*100+AD51*1000+AI51*10000000+AS51*10000</f>
        <v>50000903.399999999</v>
      </c>
      <c r="AK51" s="161">
        <f>IF(COUNTIF(AI51:AI54,CONCATENATE("=",AI51))=1,0,COUNTIF(AI51:AI54,CONCATENATE("=",AI51)))*AI51</f>
        <v>0</v>
      </c>
      <c r="AM51" s="162">
        <f>IF(AK51=AK55,AI51,IF(AK52=AK55,AI52,IF(AK53=AK55,AI53,AI54)))</f>
        <v>5</v>
      </c>
      <c r="AN51" s="162">
        <f>IF(AI51=AM51,1,0)</f>
        <v>1</v>
      </c>
      <c r="AO51" s="162">
        <f>COUNTIF(BF9:BG104,CONCATENATE(AC51,"_win"))</f>
        <v>0</v>
      </c>
      <c r="AP51" s="162">
        <f>SUMIF(BL9:BL104,CONCATENATE("=",AC51),BM9:BM104)*1.01+SUMIF(BH9:BH104,CONCATENATE("=",AC51),BI9:BI104)</f>
        <v>0</v>
      </c>
      <c r="AQ51" s="162">
        <f>SUMIF(BN9:BN104,CONCATENATE("=",AC51),BO9:BO104)+SUMIF(BJ9:BJ104,CONCATENATE("=",AC51),BK9:BK104)</f>
        <v>0</v>
      </c>
      <c r="AR51" s="161">
        <f>300*AO51+(AP51-AQ51)*10+AP51</f>
        <v>0</v>
      </c>
      <c r="AS51" s="161">
        <f>IF(AR51&gt;0,AR51,0)</f>
        <v>0</v>
      </c>
      <c r="AU51" s="161">
        <f>VLOOKUP(Y27,AC9:AN61,12,FALSE)+VLOOKUP(V27,AC9:AN61,12,FALSE)</f>
        <v>1</v>
      </c>
      <c r="AV51" s="161" t="str">
        <f t="shared" si="105"/>
        <v>Manchester City</v>
      </c>
      <c r="AW51" s="161">
        <f t="shared" si="106"/>
        <v>5</v>
      </c>
      <c r="AX51" s="161" t="str">
        <f t="shared" si="107"/>
        <v>Manchester City</v>
      </c>
      <c r="AY51" s="161">
        <f t="shared" si="108"/>
        <v>2</v>
      </c>
      <c r="AZ51" s="161" t="str">
        <f t="shared" si="109"/>
        <v>CSKA Moskva</v>
      </c>
      <c r="BA51" s="161">
        <f t="shared" si="110"/>
        <v>2</v>
      </c>
      <c r="BB51" s="161" t="str">
        <f t="shared" si="111"/>
        <v>CSKA Moskva</v>
      </c>
      <c r="BC51" s="161">
        <f t="shared" si="112"/>
        <v>5</v>
      </c>
      <c r="BD51" s="161" t="str">
        <f t="shared" si="113"/>
        <v>Manchester City_win</v>
      </c>
      <c r="BE51" s="161" t="str">
        <f t="shared" si="114"/>
        <v>CSKA Moskva_lose</v>
      </c>
      <c r="BF51" s="161" t="str">
        <f t="shared" si="115"/>
        <v/>
      </c>
      <c r="BG51" s="161" t="str">
        <f t="shared" si="116"/>
        <v/>
      </c>
      <c r="BH51" s="161" t="str">
        <f t="shared" si="15"/>
        <v/>
      </c>
      <c r="BI51" s="161" t="str">
        <f t="shared" si="16"/>
        <v/>
      </c>
      <c r="BJ51" s="161" t="str">
        <f t="shared" si="17"/>
        <v/>
      </c>
      <c r="BK51" s="161" t="str">
        <f t="shared" si="18"/>
        <v/>
      </c>
      <c r="BL51" s="161" t="str">
        <f t="shared" si="19"/>
        <v/>
      </c>
      <c r="BM51" s="161" t="str">
        <f t="shared" si="20"/>
        <v/>
      </c>
      <c r="BN51" s="161" t="str">
        <f t="shared" si="21"/>
        <v/>
      </c>
      <c r="BO51" s="161" t="str">
        <f t="shared" si="22"/>
        <v/>
      </c>
      <c r="BU51" s="161">
        <f t="shared" ref="BU51:BV51" si="127">IF(RIGHT(BD87,3)="win",3,IF(RIGHT(BD87,3)="raw",1,IF(RIGHT(BD87,3)="ose",-1,0)))</f>
        <v>1</v>
      </c>
      <c r="BV51" s="161">
        <f t="shared" si="127"/>
        <v>1</v>
      </c>
      <c r="BW51" s="161">
        <f t="shared" ref="BW51:BX51" si="128">IF(RIGHT(BD99,3)="win",3,IF(RIGHT(BD99,3)="raw",1,IF(RIGHT(BD99,3)="ose",-1,0)))</f>
        <v>3</v>
      </c>
      <c r="BX51" s="161">
        <f t="shared" si="128"/>
        <v>-1</v>
      </c>
    </row>
    <row r="52" spans="1:76" ht="16.5" customHeight="1" x14ac:dyDescent="0.2">
      <c r="A52" s="167"/>
      <c r="B52" s="136" t="str">
        <f>INDEX(T,25,langID)</f>
        <v>Nov</v>
      </c>
      <c r="C52" s="137">
        <v>6</v>
      </c>
      <c r="D52" s="137">
        <v>2013</v>
      </c>
      <c r="E52" s="138">
        <v>0.86458333333333337</v>
      </c>
      <c r="F52" s="140" t="str">
        <f>AC54</f>
        <v>Atlético de Madrid</v>
      </c>
      <c r="G52" s="156">
        <v>4</v>
      </c>
      <c r="H52" s="157">
        <v>0</v>
      </c>
      <c r="I52" s="139" t="str">
        <f>AC52</f>
        <v>Austria Wien</v>
      </c>
      <c r="J52" s="19"/>
      <c r="K52" s="25" t="str">
        <f>VLOOKUP(3,AB51:AI54,2,FALSE)</f>
        <v>Zenit</v>
      </c>
      <c r="L52" s="26">
        <f>VLOOKUP(3,AB51:AI54,3,FALSE)</f>
        <v>1</v>
      </c>
      <c r="M52" s="26">
        <f>VLOOKUP(3,AB51:AI54,4,FALSE)</f>
        <v>2</v>
      </c>
      <c r="N52" s="26">
        <f>VLOOKUP(3,AB51:AI54,5,FALSE)</f>
        <v>1</v>
      </c>
      <c r="O52" s="26" t="str">
        <f>CONCATENATE(VLOOKUP(3,AB51:AI54,6,FALSE)," - ",VLOOKUP(3,AB51:AI54,7,FALSE))</f>
        <v>3 - 4</v>
      </c>
      <c r="P52" s="27">
        <f>VLOOKUP(3,AB51:AI54,8,FALSE)</f>
        <v>5</v>
      </c>
      <c r="Q52" s="19"/>
      <c r="R52" s="136" t="str">
        <f t="shared" si="23"/>
        <v>Nov</v>
      </c>
      <c r="S52" s="137">
        <f t="shared" si="0"/>
        <v>6</v>
      </c>
      <c r="T52" s="137">
        <f t="shared" si="1"/>
        <v>2013</v>
      </c>
      <c r="U52" s="138">
        <f t="shared" si="2"/>
        <v>0.86458333333333337</v>
      </c>
      <c r="V52" s="140" t="str">
        <f>AC61</f>
        <v>Barcelona</v>
      </c>
      <c r="W52" s="156">
        <v>3</v>
      </c>
      <c r="X52" s="157">
        <v>1</v>
      </c>
      <c r="Y52" s="147" t="str">
        <f>AC59</f>
        <v>Milan</v>
      </c>
      <c r="Z52" s="179"/>
      <c r="AB52" s="160">
        <f>IF(AJ52&gt;AJ51,1,0)+IF(AJ52&gt;AJ52,1,0)+IF(AJ52&gt;AJ53,1,0)+IF(AJ52&gt;AJ54,1,0)+1</f>
        <v>1</v>
      </c>
      <c r="AC52" s="161" t="str">
        <f>INDEX(T,52,langID)</f>
        <v>Austria Wien</v>
      </c>
      <c r="AD52" s="162">
        <f>COUNTIF(BD9:BE104,CONCATENATE(AC52,"_win"))</f>
        <v>0</v>
      </c>
      <c r="AE52" s="162">
        <f>COUNTIF(BD9:BE104,CONCATENATE(AC52,"_draw"))</f>
        <v>1</v>
      </c>
      <c r="AF52" s="162">
        <f>COUNTIF(BD9:BE104,CONCATENATE(AC52,"_lose"))</f>
        <v>3</v>
      </c>
      <c r="AG52" s="162">
        <f>SUMIF(AZ9:AZ104,CONCATENATE("=",AC52),BA9:BA104)+SUMIF(AV9:AV104,CONCATENATE("=",AC52),AW9:AW104)</f>
        <v>0</v>
      </c>
      <c r="AH52" s="162">
        <f>SUMIF(BB9:BB104,CONCATENATE("=",AC52),BC9:BC104)+SUMIF(AX9:AX104,CONCATENATE("=",AC52),AY9:AY104)</f>
        <v>8</v>
      </c>
      <c r="AI52" s="162">
        <f>AD52*3+AE52</f>
        <v>1</v>
      </c>
      <c r="AJ52" s="162">
        <f>0.3+AG52+(AG52-AH52)*100+AD52*1000+AI52*10000000+AS52*10000</f>
        <v>9999200.3000000007</v>
      </c>
      <c r="AK52" s="161">
        <f>IF(COUNTIF(AI51:AI54,CONCATENATE("=",AI52))=1,0,COUNTIF(AI51:AI54,CONCATENATE("=",AI52)))*AI52</f>
        <v>0</v>
      </c>
      <c r="AN52" s="162">
        <f>IF(AI52=AM51,1,0)</f>
        <v>0</v>
      </c>
      <c r="AO52" s="162">
        <f>COUNTIF(BF9:BG104,CONCATENATE(AC52,"_win"))</f>
        <v>0</v>
      </c>
      <c r="AP52" s="162">
        <f>SUMIF(BL9:BL104,CONCATENATE("=",AC52),BM9:BM104)*1.01+SUMIF(BH9:BH104,CONCATENATE("=",AC52),BI9:BI104)</f>
        <v>0</v>
      </c>
      <c r="AQ52" s="162">
        <f>SUMIF(BN9:BN104,CONCATENATE("=",AC52),BO9:BO104)+SUMIF(BJ9:BJ104,CONCATENATE("=",AC52),BK9:BK104)</f>
        <v>0</v>
      </c>
      <c r="AR52" s="161">
        <f>300*AO52+(AP52-AQ52)*10+AP52</f>
        <v>0</v>
      </c>
      <c r="AS52" s="161">
        <f>IF(AR52&gt;0,AR52,0)</f>
        <v>0</v>
      </c>
      <c r="AU52" s="161">
        <f>VLOOKUP(Y28,AC9:AN61,12,FALSE)+VLOOKUP(V28,AC9:AN61,12,FALSE)</f>
        <v>0</v>
      </c>
      <c r="AV52" s="161" t="str">
        <f t="shared" si="105"/>
        <v>Viktoria Plzeň</v>
      </c>
      <c r="AW52" s="161">
        <f t="shared" si="106"/>
        <v>0</v>
      </c>
      <c r="AX52" s="161" t="str">
        <f t="shared" si="107"/>
        <v>Viktoria Plzeň</v>
      </c>
      <c r="AY52" s="161">
        <f t="shared" si="108"/>
        <v>1</v>
      </c>
      <c r="AZ52" s="161" t="str">
        <f t="shared" si="109"/>
        <v>Bayern München</v>
      </c>
      <c r="BA52" s="161">
        <f t="shared" si="110"/>
        <v>1</v>
      </c>
      <c r="BB52" s="161" t="str">
        <f t="shared" si="111"/>
        <v>Bayern München</v>
      </c>
      <c r="BC52" s="161">
        <f t="shared" si="112"/>
        <v>0</v>
      </c>
      <c r="BD52" s="161" t="str">
        <f t="shared" si="113"/>
        <v>Viktoria Plzeň_lose</v>
      </c>
      <c r="BE52" s="161" t="str">
        <f t="shared" si="114"/>
        <v>Bayern München_win</v>
      </c>
      <c r="BF52" s="161" t="str">
        <f t="shared" si="115"/>
        <v/>
      </c>
      <c r="BG52" s="161" t="str">
        <f t="shared" si="116"/>
        <v/>
      </c>
      <c r="BH52" s="161" t="str">
        <f t="shared" si="15"/>
        <v/>
      </c>
      <c r="BI52" s="161" t="str">
        <f t="shared" si="16"/>
        <v/>
      </c>
      <c r="BJ52" s="161" t="str">
        <f t="shared" si="17"/>
        <v/>
      </c>
      <c r="BK52" s="161" t="str">
        <f t="shared" si="18"/>
        <v/>
      </c>
      <c r="BL52" s="161" t="str">
        <f t="shared" si="19"/>
        <v/>
      </c>
      <c r="BM52" s="161" t="str">
        <f t="shared" si="20"/>
        <v/>
      </c>
      <c r="BN52" s="161" t="str">
        <f t="shared" si="21"/>
        <v/>
      </c>
      <c r="BO52" s="161" t="str">
        <f t="shared" si="22"/>
        <v/>
      </c>
      <c r="BU52" s="161">
        <f t="shared" ref="BU52:BV52" si="129">IF(RIGHT(BD88,3)="win",3,IF(RIGHT(BD88,3)="raw",1,IF(RIGHT(BD88,3)="ose",-1,0)))</f>
        <v>3</v>
      </c>
      <c r="BV52" s="161">
        <f t="shared" si="129"/>
        <v>-1</v>
      </c>
      <c r="BW52" s="161">
        <f t="shared" ref="BW52:BX52" si="130">IF(RIGHT(BD100,3)="win",3,IF(RIGHT(BD100,3)="raw",1,IF(RIGHT(BD100,3)="ose",-1,0)))</f>
        <v>3</v>
      </c>
      <c r="BX52" s="161">
        <f t="shared" si="130"/>
        <v>-1</v>
      </c>
    </row>
    <row r="53" spans="1:76" ht="16.5" customHeight="1" x14ac:dyDescent="0.2">
      <c r="A53" s="167"/>
      <c r="B53" s="136" t="str">
        <f>INDEX(T,25,langID)</f>
        <v>Nov</v>
      </c>
      <c r="C53" s="137">
        <v>26</v>
      </c>
      <c r="D53" s="137">
        <v>2013</v>
      </c>
      <c r="E53" s="138">
        <v>0.75</v>
      </c>
      <c r="F53" s="140" t="str">
        <f>AC51</f>
        <v>Zenit</v>
      </c>
      <c r="G53" s="156"/>
      <c r="H53" s="157"/>
      <c r="I53" s="139" t="str">
        <f>AC54</f>
        <v>Atlético de Madrid</v>
      </c>
      <c r="J53" s="19"/>
      <c r="K53" s="25" t="str">
        <f>VLOOKUP(2,AB51:AI54,2,FALSE)</f>
        <v>Porto</v>
      </c>
      <c r="L53" s="26">
        <f>VLOOKUP(2,AB51:AI54,3,FALSE)</f>
        <v>1</v>
      </c>
      <c r="M53" s="26">
        <f>VLOOKUP(2,AB51:AI54,4,FALSE)</f>
        <v>1</v>
      </c>
      <c r="N53" s="26">
        <f>VLOOKUP(2,AB51:AI54,5,FALSE)</f>
        <v>2</v>
      </c>
      <c r="O53" s="26" t="str">
        <f>CONCATENATE(VLOOKUP(2,AB51:AI54,6,FALSE)," - ",VLOOKUP(2,AB51:AI54,7,FALSE))</f>
        <v>3 - 4</v>
      </c>
      <c r="P53" s="27">
        <f>VLOOKUP(2,AB51:AI54,8,FALSE)</f>
        <v>4</v>
      </c>
      <c r="Q53" s="19"/>
      <c r="R53" s="136" t="str">
        <f t="shared" si="23"/>
        <v>Nov</v>
      </c>
      <c r="S53" s="137">
        <f t="shared" si="0"/>
        <v>26</v>
      </c>
      <c r="T53" s="137">
        <f t="shared" si="1"/>
        <v>2013</v>
      </c>
      <c r="U53" s="138">
        <f t="shared" si="2"/>
        <v>0.75</v>
      </c>
      <c r="V53" s="140" t="str">
        <f>AC58</f>
        <v>Ajax</v>
      </c>
      <c r="W53" s="156"/>
      <c r="X53" s="157"/>
      <c r="Y53" s="147" t="str">
        <f>AC61</f>
        <v>Barcelona</v>
      </c>
      <c r="Z53" s="179"/>
      <c r="AB53" s="160">
        <f>IF(AJ53&gt;AJ51,1,0)+IF(AJ53&gt;AJ52,1,0)+IF(AJ53&gt;AJ53,1,0)+IF(AJ53&gt;AJ54,1,0)+1</f>
        <v>2</v>
      </c>
      <c r="AC53" s="161" t="str">
        <f>INDEX(T,53,langID)</f>
        <v>Porto</v>
      </c>
      <c r="AD53" s="162">
        <f>COUNTIF(BD9:BE104,CONCATENATE(AC53,"_win"))</f>
        <v>1</v>
      </c>
      <c r="AE53" s="162">
        <f>COUNTIF(BD9:BE104,CONCATENATE(AC53,"_draw"))</f>
        <v>1</v>
      </c>
      <c r="AF53" s="162">
        <f>COUNTIF(BD9:BE104,CONCATENATE(AC53,"_lose"))</f>
        <v>2</v>
      </c>
      <c r="AG53" s="162">
        <f>SUMIF(AZ9:AZ104,CONCATENATE("=",AC53),BA9:BA104)+SUMIF(AV9:AV104,CONCATENATE("=",AC53),AW9:AW104)</f>
        <v>3</v>
      </c>
      <c r="AH53" s="162">
        <f>SUMIF(BB9:BB104,CONCATENATE("=",AC53),BC9:BC104)+SUMIF(AX9:AX104,CONCATENATE("=",AC53),AY9:AY104)</f>
        <v>4</v>
      </c>
      <c r="AI53" s="162">
        <f>AD53*3+AE53</f>
        <v>4</v>
      </c>
      <c r="AJ53" s="162">
        <f>0.2+AG53+(AG53-AH53)*100+AD53*1000+AI53*10000000+AS53*10000</f>
        <v>40000903.200000003</v>
      </c>
      <c r="AK53" s="161">
        <f>IF(COUNTIF(AI51:AI54,CONCATENATE("=",AI53))=1,0,COUNTIF(AI51:AI54,CONCATENATE("=",AI53)))*AI53</f>
        <v>0</v>
      </c>
      <c r="AN53" s="162">
        <f>IF(AI53=AM51,1,0)</f>
        <v>0</v>
      </c>
      <c r="AO53" s="162">
        <f>COUNTIF(BF9:BG104,CONCATENATE(AC53,"_win"))</f>
        <v>0</v>
      </c>
      <c r="AP53" s="162">
        <f>SUMIF(BL9:BL104,CONCATENATE("=",AC53),BM9:BM104)*1.01+SUMIF(BH9:BH104,CONCATENATE("=",AC53),BI9:BI104)</f>
        <v>0</v>
      </c>
      <c r="AQ53" s="162">
        <f>SUMIF(BN9:BN104,CONCATENATE("=",AC53),BO9:BO104)+SUMIF(BJ9:BJ104,CONCATENATE("=",AC53),BK9:BK104)</f>
        <v>0</v>
      </c>
      <c r="AR53" s="161">
        <f>300*AO53+(AP53-AQ53)*10+AP53</f>
        <v>0</v>
      </c>
      <c r="AS53" s="161">
        <f>IF(AR53&gt;0,AR53,0)</f>
        <v>0</v>
      </c>
      <c r="AU53" s="161">
        <f>VLOOKUP(Y29,AC9:AN61,12,FALSE)+VLOOKUP(V29,AC9:AN61,12,FALSE)</f>
        <v>1</v>
      </c>
      <c r="AV53" s="161" t="str">
        <f t="shared" si="105"/>
        <v>Manchester City</v>
      </c>
      <c r="AW53" s="161">
        <f t="shared" si="106"/>
        <v>0</v>
      </c>
      <c r="AX53" s="161" t="str">
        <f t="shared" si="107"/>
        <v>Manchester City</v>
      </c>
      <c r="AY53" s="161">
        <f t="shared" si="108"/>
        <v>0</v>
      </c>
      <c r="AZ53" s="161" t="str">
        <f t="shared" si="109"/>
        <v>Viktoria Plzeň</v>
      </c>
      <c r="BA53" s="161">
        <f t="shared" si="110"/>
        <v>0</v>
      </c>
      <c r="BB53" s="161" t="str">
        <f t="shared" si="111"/>
        <v>Viktoria Plzeň</v>
      </c>
      <c r="BC53" s="161">
        <f t="shared" si="112"/>
        <v>0</v>
      </c>
      <c r="BD53" s="161" t="str">
        <f t="shared" si="113"/>
        <v/>
      </c>
      <c r="BE53" s="161" t="str">
        <f t="shared" si="114"/>
        <v/>
      </c>
      <c r="BF53" s="161" t="str">
        <f t="shared" si="115"/>
        <v/>
      </c>
      <c r="BG53" s="161" t="str">
        <f t="shared" si="116"/>
        <v/>
      </c>
      <c r="BH53" s="161" t="str">
        <f t="shared" si="15"/>
        <v/>
      </c>
      <c r="BI53" s="161" t="str">
        <f t="shared" si="16"/>
        <v/>
      </c>
      <c r="BJ53" s="161" t="str">
        <f t="shared" si="17"/>
        <v/>
      </c>
      <c r="BK53" s="161" t="str">
        <f t="shared" si="18"/>
        <v/>
      </c>
      <c r="BL53" s="161" t="str">
        <f t="shared" si="19"/>
        <v/>
      </c>
      <c r="BM53" s="161" t="str">
        <f t="shared" si="20"/>
        <v/>
      </c>
      <c r="BN53" s="161" t="str">
        <f t="shared" si="21"/>
        <v/>
      </c>
      <c r="BO53" s="161" t="str">
        <f t="shared" si="22"/>
        <v/>
      </c>
      <c r="BU53" s="161">
        <f t="shared" ref="BU53:BV53" si="131">IF(RIGHT(BD89,3)="win",3,IF(RIGHT(BD89,3)="raw",1,IF(RIGHT(BD89,3)="ose",-1,0)))</f>
        <v>0</v>
      </c>
      <c r="BV53" s="161">
        <f t="shared" si="131"/>
        <v>0</v>
      </c>
      <c r="BW53" s="161">
        <f t="shared" ref="BW53:BX53" si="132">IF(RIGHT(BD101,3)="win",3,IF(RIGHT(BD101,3)="raw",1,IF(RIGHT(BD101,3)="ose",-1,0)))</f>
        <v>0</v>
      </c>
      <c r="BX53" s="161">
        <f t="shared" si="132"/>
        <v>0</v>
      </c>
    </row>
    <row r="54" spans="1:76" ht="16.5" customHeight="1" x14ac:dyDescent="0.2">
      <c r="A54" s="167"/>
      <c r="B54" s="136" t="str">
        <f>INDEX(T,25,langID)</f>
        <v>Nov</v>
      </c>
      <c r="C54" s="137">
        <v>26</v>
      </c>
      <c r="D54" s="137">
        <v>2013</v>
      </c>
      <c r="E54" s="138">
        <v>0.86458333333333337</v>
      </c>
      <c r="F54" s="140" t="str">
        <f>AC53</f>
        <v>Porto</v>
      </c>
      <c r="G54" s="156"/>
      <c r="H54" s="157"/>
      <c r="I54" s="139" t="str">
        <f>AC52</f>
        <v>Austria Wien</v>
      </c>
      <c r="J54" s="19"/>
      <c r="K54" s="31" t="str">
        <f>VLOOKUP(1,AB51:AI54,2,FALSE)</f>
        <v>Austria Wien</v>
      </c>
      <c r="L54" s="32">
        <f>VLOOKUP(1,AB51:AI54,3,FALSE)</f>
        <v>0</v>
      </c>
      <c r="M54" s="32">
        <f>VLOOKUP(1,AB51:AI54,4,FALSE)</f>
        <v>1</v>
      </c>
      <c r="N54" s="32">
        <f>VLOOKUP(1,AB51:AI54,5,FALSE)</f>
        <v>3</v>
      </c>
      <c r="O54" s="32" t="str">
        <f>CONCATENATE(VLOOKUP(1,AB51:AI54,6,FALSE)," - ",VLOOKUP(1,AB51:AI54,7,FALSE))</f>
        <v>0 - 8</v>
      </c>
      <c r="P54" s="33">
        <f>VLOOKUP(1,AB51:AI54,8,FALSE)</f>
        <v>1</v>
      </c>
      <c r="Q54" s="19"/>
      <c r="R54" s="136" t="str">
        <f t="shared" si="23"/>
        <v>Nov</v>
      </c>
      <c r="S54" s="137">
        <f t="shared" si="0"/>
        <v>26</v>
      </c>
      <c r="T54" s="137">
        <f t="shared" si="1"/>
        <v>2013</v>
      </c>
      <c r="U54" s="138">
        <f t="shared" si="2"/>
        <v>0.86458333333333337</v>
      </c>
      <c r="V54" s="140" t="str">
        <f>AC60</f>
        <v>Celtic</v>
      </c>
      <c r="W54" s="156"/>
      <c r="X54" s="157"/>
      <c r="Y54" s="147" t="str">
        <f>AC59</f>
        <v>Milan</v>
      </c>
      <c r="Z54" s="179"/>
      <c r="AB54" s="160">
        <f>IF(AJ54&gt;AJ51,1,0)+IF(AJ54&gt;AJ52,1,0)+IF(AJ54&gt;AJ53,1,0)+IF(AJ54&gt;AJ54,1,0)+1</f>
        <v>4</v>
      </c>
      <c r="AC54" s="161" t="str">
        <f>INDEX(T,54,langID)</f>
        <v>Atlético de Madrid</v>
      </c>
      <c r="AD54" s="162">
        <f>COUNTIF(BD9:BE104,CONCATENATE(AC54,"_win"))</f>
        <v>4</v>
      </c>
      <c r="AE54" s="162">
        <f>COUNTIF(BD9:BE104,CONCATENATE(AC54,"_draw"))</f>
        <v>0</v>
      </c>
      <c r="AF54" s="162">
        <f>COUNTIF(BD9:BE104,CONCATENATE(AC54,"_lose"))</f>
        <v>0</v>
      </c>
      <c r="AG54" s="162">
        <f>SUMIF(AZ9:AZ104,CONCATENATE("=",AC54),BA9:BA104)+SUMIF(AV9:AV104,CONCATENATE("=",AC54),AW9:AW104)</f>
        <v>12</v>
      </c>
      <c r="AH54" s="162">
        <f>SUMIF(BB9:BB104,CONCATENATE("=",AC54),BC9:BC104)+SUMIF(AX9:AX104,CONCATENATE("=",AC54),AY9:AY104)</f>
        <v>2</v>
      </c>
      <c r="AI54" s="162">
        <f>AD54*3+AE54</f>
        <v>12</v>
      </c>
      <c r="AJ54" s="162">
        <f>0.1+AG54+(AG54-AH54)*100+AD54*1000+AI54*10000000+AS54*10000</f>
        <v>120005012.09999999</v>
      </c>
      <c r="AK54" s="161">
        <f>IF(COUNTIF(AI51:AI54,CONCATENATE("=",AI54))=1,0,COUNTIF(AI51:AI54,CONCATENATE("=",AI54)))*AI54</f>
        <v>0</v>
      </c>
      <c r="AN54" s="162">
        <f>IF(AI54=AM51,1,0)</f>
        <v>0</v>
      </c>
      <c r="AO54" s="162">
        <f>COUNTIF(BF9:BG104,CONCATENATE(AC54,"_win"))</f>
        <v>0</v>
      </c>
      <c r="AP54" s="162">
        <f>SUMIF(BL9:BL104,CONCATENATE("=",AC54),BM9:BM104)*1.01+SUMIF(BH9:BH104,CONCATENATE("=",AC54),BI9:BI104)</f>
        <v>0</v>
      </c>
      <c r="AQ54" s="162">
        <f>SUMIF(BN9:BN104,CONCATENATE("=",AC54),BO9:BO104)+SUMIF(BJ9:BJ104,CONCATENATE("=",AC54),BK9:BK104)</f>
        <v>0</v>
      </c>
      <c r="AR54" s="161">
        <f>300*AO54+(AP54-AQ54)*10+AP54</f>
        <v>0</v>
      </c>
      <c r="AS54" s="161">
        <f>IF(AR54&gt;0,AR54,0)</f>
        <v>0</v>
      </c>
      <c r="AU54" s="161">
        <f>VLOOKUP(Y30,AC9:AN61,12,FALSE)+VLOOKUP(V30,AC9:AN61,12,FALSE)</f>
        <v>0</v>
      </c>
      <c r="AV54" s="161" t="str">
        <f t="shared" si="105"/>
        <v>CSKA Moskva</v>
      </c>
      <c r="AW54" s="161">
        <f t="shared" si="106"/>
        <v>0</v>
      </c>
      <c r="AX54" s="161" t="str">
        <f t="shared" si="107"/>
        <v>CSKA Moskva</v>
      </c>
      <c r="AY54" s="161">
        <f t="shared" si="108"/>
        <v>0</v>
      </c>
      <c r="AZ54" s="161" t="str">
        <f t="shared" si="109"/>
        <v>Bayern München</v>
      </c>
      <c r="BA54" s="161">
        <f t="shared" si="110"/>
        <v>0</v>
      </c>
      <c r="BB54" s="161" t="str">
        <f t="shared" si="111"/>
        <v>Bayern München</v>
      </c>
      <c r="BC54" s="161">
        <f t="shared" si="112"/>
        <v>0</v>
      </c>
      <c r="BD54" s="161" t="str">
        <f t="shared" si="113"/>
        <v/>
      </c>
      <c r="BE54" s="161" t="str">
        <f t="shared" si="114"/>
        <v/>
      </c>
      <c r="BF54" s="161" t="str">
        <f t="shared" si="115"/>
        <v/>
      </c>
      <c r="BG54" s="161" t="str">
        <f t="shared" si="116"/>
        <v/>
      </c>
      <c r="BH54" s="161" t="str">
        <f t="shared" si="15"/>
        <v/>
      </c>
      <c r="BI54" s="161" t="str">
        <f t="shared" si="16"/>
        <v/>
      </c>
      <c r="BJ54" s="161" t="str">
        <f t="shared" si="17"/>
        <v/>
      </c>
      <c r="BK54" s="161" t="str">
        <f t="shared" si="18"/>
        <v/>
      </c>
      <c r="BL54" s="161" t="str">
        <f t="shared" si="19"/>
        <v/>
      </c>
      <c r="BM54" s="161" t="str">
        <f t="shared" si="20"/>
        <v/>
      </c>
      <c r="BN54" s="161" t="str">
        <f t="shared" si="21"/>
        <v/>
      </c>
      <c r="BO54" s="161" t="str">
        <f t="shared" si="22"/>
        <v/>
      </c>
      <c r="BU54" s="161">
        <f t="shared" ref="BU54:BV54" si="133">IF(RIGHT(BD90,3)="win",3,IF(RIGHT(BD90,3)="raw",1,IF(RIGHT(BD90,3)="ose",-1,0)))</f>
        <v>0</v>
      </c>
      <c r="BV54" s="161">
        <f t="shared" si="133"/>
        <v>0</v>
      </c>
      <c r="BW54" s="161">
        <f t="shared" ref="BW54:BX54" si="134">IF(RIGHT(BD102,3)="win",3,IF(RIGHT(BD102,3)="raw",1,IF(RIGHT(BD102,3)="ose",-1,0)))</f>
        <v>0</v>
      </c>
      <c r="BX54" s="161">
        <f t="shared" si="134"/>
        <v>0</v>
      </c>
    </row>
    <row r="55" spans="1:76" ht="16.5" customHeight="1" x14ac:dyDescent="0.2">
      <c r="A55" s="167"/>
      <c r="B55" s="136" t="str">
        <f>INDEX(T,26,langID)</f>
        <v>Dec</v>
      </c>
      <c r="C55" s="137">
        <v>11</v>
      </c>
      <c r="D55" s="137">
        <v>2013</v>
      </c>
      <c r="E55" s="138">
        <v>0.86458333333333337</v>
      </c>
      <c r="F55" s="140" t="str">
        <f>AC54</f>
        <v>Atlético de Madrid</v>
      </c>
      <c r="G55" s="156"/>
      <c r="H55" s="157"/>
      <c r="I55" s="139" t="str">
        <f>AC53</f>
        <v>Porto</v>
      </c>
      <c r="J55" s="19"/>
      <c r="K55" s="19"/>
      <c r="L55" s="34"/>
      <c r="M55" s="34"/>
      <c r="N55" s="34"/>
      <c r="O55" s="34"/>
      <c r="P55" s="34"/>
      <c r="Q55" s="19"/>
      <c r="R55" s="136" t="str">
        <f t="shared" si="23"/>
        <v>Dec</v>
      </c>
      <c r="S55" s="137">
        <f t="shared" si="0"/>
        <v>11</v>
      </c>
      <c r="T55" s="137">
        <f t="shared" si="1"/>
        <v>2013</v>
      </c>
      <c r="U55" s="138">
        <f t="shared" si="2"/>
        <v>0.86458333333333337</v>
      </c>
      <c r="V55" s="140" t="str">
        <f>AC61</f>
        <v>Barcelona</v>
      </c>
      <c r="W55" s="156"/>
      <c r="X55" s="157"/>
      <c r="Y55" s="147" t="str">
        <f>AC60</f>
        <v>Celtic</v>
      </c>
      <c r="Z55" s="179"/>
      <c r="AK55" s="161">
        <f>MAX(AK51:AK54)</f>
        <v>0</v>
      </c>
      <c r="AU55" s="161">
        <f>VLOOKUP(Y31,AC9:AN61,12,FALSE)+VLOOKUP(V31,AC9:AN61,12,FALSE)</f>
        <v>0</v>
      </c>
      <c r="AV55" s="161" t="str">
        <f t="shared" si="105"/>
        <v>Viktoria Plzeň</v>
      </c>
      <c r="AW55" s="161">
        <f t="shared" si="106"/>
        <v>0</v>
      </c>
      <c r="AX55" s="161" t="str">
        <f t="shared" si="107"/>
        <v>Viktoria Plzeň</v>
      </c>
      <c r="AY55" s="161">
        <f t="shared" si="108"/>
        <v>0</v>
      </c>
      <c r="AZ55" s="161" t="str">
        <f t="shared" si="109"/>
        <v>CSKA Moskva</v>
      </c>
      <c r="BA55" s="161">
        <f t="shared" si="110"/>
        <v>0</v>
      </c>
      <c r="BB55" s="161" t="str">
        <f t="shared" si="111"/>
        <v>CSKA Moskva</v>
      </c>
      <c r="BC55" s="161">
        <f t="shared" si="112"/>
        <v>0</v>
      </c>
      <c r="BD55" s="161" t="str">
        <f t="shared" si="113"/>
        <v/>
      </c>
      <c r="BE55" s="161" t="str">
        <f t="shared" si="114"/>
        <v/>
      </c>
      <c r="BF55" s="161" t="str">
        <f t="shared" si="115"/>
        <v/>
      </c>
      <c r="BG55" s="161" t="str">
        <f t="shared" si="116"/>
        <v/>
      </c>
      <c r="BH55" s="161" t="str">
        <f t="shared" si="15"/>
        <v/>
      </c>
      <c r="BI55" s="161" t="str">
        <f t="shared" si="16"/>
        <v/>
      </c>
      <c r="BJ55" s="161" t="str">
        <f t="shared" si="17"/>
        <v/>
      </c>
      <c r="BK55" s="161" t="str">
        <f t="shared" si="18"/>
        <v/>
      </c>
      <c r="BL55" s="161" t="str">
        <f t="shared" si="19"/>
        <v/>
      </c>
      <c r="BM55" s="161" t="str">
        <f t="shared" si="20"/>
        <v/>
      </c>
      <c r="BN55" s="161" t="str">
        <f t="shared" si="21"/>
        <v/>
      </c>
      <c r="BO55" s="161" t="str">
        <f t="shared" si="22"/>
        <v/>
      </c>
      <c r="BU55" s="161">
        <f t="shared" ref="BU55:BV55" si="135">IF(RIGHT(BD91,3)="win",3,IF(RIGHT(BD91,3)="raw",1,IF(RIGHT(BD91,3)="ose",-1,0)))</f>
        <v>0</v>
      </c>
      <c r="BV55" s="161">
        <f t="shared" si="135"/>
        <v>0</v>
      </c>
      <c r="BW55" s="161">
        <f t="shared" ref="BW55:BX55" si="136">IF(RIGHT(BD103,3)="win",3,IF(RIGHT(BD103,3)="raw",1,IF(RIGHT(BD103,3)="ose",-1,0)))</f>
        <v>0</v>
      </c>
      <c r="BX55" s="161">
        <f t="shared" si="136"/>
        <v>0</v>
      </c>
    </row>
    <row r="56" spans="1:76" ht="16.5" customHeight="1" x14ac:dyDescent="0.2">
      <c r="A56" s="168"/>
      <c r="B56" s="149" t="str">
        <f>INDEX(T,26,langID)</f>
        <v>Dec</v>
      </c>
      <c r="C56" s="150">
        <v>11</v>
      </c>
      <c r="D56" s="150">
        <v>2013</v>
      </c>
      <c r="E56" s="151">
        <v>0.86458333333333337</v>
      </c>
      <c r="F56" s="142" t="str">
        <f>AC52</f>
        <v>Austria Wien</v>
      </c>
      <c r="G56" s="158"/>
      <c r="H56" s="159"/>
      <c r="I56" s="145" t="str">
        <f>AC51</f>
        <v>Zenit</v>
      </c>
      <c r="J56" s="19"/>
      <c r="K56" s="197" t="str">
        <f>INDEX(T,4,langID) &amp; " H"</f>
        <v>Group H</v>
      </c>
      <c r="L56" s="181" t="str">
        <f>INDEX(T,7,langID)</f>
        <v>Win</v>
      </c>
      <c r="M56" s="181" t="str">
        <f>INDEX(T,8,langID)</f>
        <v>Draw</v>
      </c>
      <c r="N56" s="181" t="str">
        <f>INDEX(T,9,langID)</f>
        <v>Lose</v>
      </c>
      <c r="O56" s="181" t="str">
        <f>INDEX(T,10,langID)</f>
        <v>F - A</v>
      </c>
      <c r="P56" s="183" t="str">
        <f>INDEX(T,11,langID)</f>
        <v>Pts</v>
      </c>
      <c r="Q56" s="19"/>
      <c r="R56" s="149" t="str">
        <f t="shared" si="23"/>
        <v>Dec</v>
      </c>
      <c r="S56" s="150">
        <f t="shared" si="0"/>
        <v>11</v>
      </c>
      <c r="T56" s="150">
        <f t="shared" si="1"/>
        <v>2013</v>
      </c>
      <c r="U56" s="151">
        <f t="shared" si="2"/>
        <v>0.86458333333333337</v>
      </c>
      <c r="V56" s="142" t="str">
        <f>AC59</f>
        <v>Milan</v>
      </c>
      <c r="W56" s="158"/>
      <c r="X56" s="159"/>
      <c r="Y56" s="148" t="str">
        <f>AC58</f>
        <v>Ajax</v>
      </c>
      <c r="Z56" s="180"/>
      <c r="AU56" s="161">
        <f>VLOOKUP(Y32,AC9:AN61,12,FALSE)+VLOOKUP(V32,AC9:AN61,12,FALSE)</f>
        <v>1</v>
      </c>
      <c r="AV56" s="161" t="str">
        <f t="shared" si="105"/>
        <v>Bayern München</v>
      </c>
      <c r="AW56" s="161">
        <f t="shared" si="106"/>
        <v>0</v>
      </c>
      <c r="AX56" s="161" t="str">
        <f t="shared" si="107"/>
        <v>Bayern München</v>
      </c>
      <c r="AY56" s="161">
        <f t="shared" si="108"/>
        <v>0</v>
      </c>
      <c r="AZ56" s="161" t="str">
        <f t="shared" si="109"/>
        <v>Manchester City</v>
      </c>
      <c r="BA56" s="161">
        <f t="shared" si="110"/>
        <v>0</v>
      </c>
      <c r="BB56" s="161" t="str">
        <f t="shared" si="111"/>
        <v>Manchester City</v>
      </c>
      <c r="BC56" s="161">
        <f t="shared" si="112"/>
        <v>0</v>
      </c>
      <c r="BD56" s="161" t="str">
        <f t="shared" si="113"/>
        <v/>
      </c>
      <c r="BE56" s="161" t="str">
        <f t="shared" si="114"/>
        <v/>
      </c>
      <c r="BF56" s="161" t="str">
        <f t="shared" si="115"/>
        <v/>
      </c>
      <c r="BG56" s="161" t="str">
        <f t="shared" si="116"/>
        <v/>
      </c>
      <c r="BH56" s="161" t="str">
        <f t="shared" si="15"/>
        <v/>
      </c>
      <c r="BI56" s="161" t="str">
        <f t="shared" si="16"/>
        <v/>
      </c>
      <c r="BJ56" s="161" t="str">
        <f t="shared" si="17"/>
        <v/>
      </c>
      <c r="BK56" s="161" t="str">
        <f t="shared" si="18"/>
        <v/>
      </c>
      <c r="BL56" s="161" t="str">
        <f t="shared" si="19"/>
        <v/>
      </c>
      <c r="BM56" s="161" t="str">
        <f t="shared" si="20"/>
        <v/>
      </c>
      <c r="BN56" s="161" t="str">
        <f t="shared" si="21"/>
        <v/>
      </c>
      <c r="BO56" s="161" t="str">
        <f t="shared" si="22"/>
        <v/>
      </c>
      <c r="BU56" s="161">
        <f t="shared" ref="BU56:BV56" si="137">IF(RIGHT(BD92,3)="win",3,IF(RIGHT(BD92,3)="raw",1,IF(RIGHT(BD92,3)="ose",-1,0)))</f>
        <v>0</v>
      </c>
      <c r="BV56" s="161">
        <f t="shared" si="137"/>
        <v>0</v>
      </c>
      <c r="BW56" s="161">
        <f t="shared" ref="BW56:BX56" si="138">IF(RIGHT(BD104,3)="win",3,IF(RIGHT(BD104,3)="raw",1,IF(RIGHT(BD104,3)="ose",-1,0)))</f>
        <v>0</v>
      </c>
      <c r="BX56" s="161">
        <f t="shared" si="138"/>
        <v>0</v>
      </c>
    </row>
    <row r="57" spans="1:76" ht="16.5" customHeight="1" x14ac:dyDescent="0.2">
      <c r="A57" s="41"/>
      <c r="B57" s="42"/>
      <c r="C57" s="43"/>
      <c r="D57" s="43"/>
      <c r="E57" s="42"/>
      <c r="F57" s="44"/>
      <c r="G57" s="34"/>
      <c r="H57" s="34"/>
      <c r="I57" s="45"/>
      <c r="J57" s="19"/>
      <c r="K57" s="198"/>
      <c r="L57" s="182"/>
      <c r="M57" s="182"/>
      <c r="N57" s="182"/>
      <c r="O57" s="182"/>
      <c r="P57" s="184"/>
      <c r="Q57" s="19"/>
      <c r="R57" s="42"/>
      <c r="S57" s="43"/>
      <c r="T57" s="43"/>
      <c r="U57" s="42"/>
      <c r="V57" s="42"/>
      <c r="W57" s="46"/>
      <c r="X57" s="46"/>
      <c r="Y57" s="46"/>
      <c r="Z57" s="46"/>
      <c r="AU57" s="161">
        <f>VLOOKUP(I33,AC9:AN61,12,FALSE)+VLOOKUP(F33,AC9:AN61,12,FALSE)</f>
        <v>1</v>
      </c>
      <c r="AV57" s="161" t="str">
        <f t="shared" ref="AV57:AV68" si="139">F33</f>
        <v>Chelsea</v>
      </c>
      <c r="AW57" s="161">
        <f t="shared" ref="AW57:AW68" si="140">G33</f>
        <v>1</v>
      </c>
      <c r="AX57" s="161" t="str">
        <f t="shared" ref="AX57:AX68" si="141">F33</f>
        <v>Chelsea</v>
      </c>
      <c r="AY57" s="161">
        <f t="shared" ref="AY57:AY68" si="142">H33</f>
        <v>2</v>
      </c>
      <c r="AZ57" s="161" t="str">
        <f t="shared" ref="AZ57:AZ68" si="143">I33</f>
        <v>Basel</v>
      </c>
      <c r="BA57" s="161">
        <f t="shared" ref="BA57:BA68" si="144">H33</f>
        <v>2</v>
      </c>
      <c r="BB57" s="161" t="str">
        <f t="shared" ref="BB57:BB68" si="145">I33</f>
        <v>Basel</v>
      </c>
      <c r="BC57" s="161">
        <f t="shared" ref="BC57:BC68" si="146">G33</f>
        <v>1</v>
      </c>
      <c r="BD57" s="161" t="str">
        <f t="shared" ref="BD57:BD68" si="147">IF(G33="","",IF(H33="","",IF(G33&gt;H33,CONCATENATE(F33,"_win"),IF(G33&lt;H33,CONCATENATE(F33,"_lose"),CONCATENATE(F33,"_draw")))))</f>
        <v>Chelsea_lose</v>
      </c>
      <c r="BE57" s="161" t="str">
        <f t="shared" ref="BE57:BE68" si="148">IF(G33="","",IF(H33="","",IF(G33&gt;H33,CONCATENATE(I33,"_lose"),IF(G33&lt;H33,CONCATENATE(I33,"_win"),CONCATENATE(I33,"_draw")))))</f>
        <v>Basel_win</v>
      </c>
      <c r="BF57" s="161" t="str">
        <f t="shared" ref="BF57:BF68" si="149">IF(AU57=2,IF(G33="","",IF(H33="","",IF(G33&gt;H33,CONCATENATE(F33,"_win"),IF(G33&lt;H33,CONCATENATE(F33,"_lose"),CONCATENATE(F33,"_draw"))))),"")</f>
        <v/>
      </c>
      <c r="BG57" s="161" t="str">
        <f t="shared" ref="BG57:BG68" si="150">IF(AU57=2,IF(G33="","",IF(H33="","",IF(G33&gt;H33,CONCATENATE(I33,"_lose"),IF(G33&lt;H33,CONCATENATE(I33,"_win"),CONCATENATE(I33,"_draw"))))),"")</f>
        <v/>
      </c>
      <c r="BH57" s="161" t="str">
        <f t="shared" ref="BH57:BH104" si="151">IF(AU57=2,AV57,"")</f>
        <v/>
      </c>
      <c r="BI57" s="161" t="str">
        <f t="shared" ref="BI57:BI104" si="152">IF(AU57=2,AW57,"")</f>
        <v/>
      </c>
      <c r="BJ57" s="161" t="str">
        <f t="shared" ref="BJ57:BJ104" si="153">IF(AU57=2,AX57,"")</f>
        <v/>
      </c>
      <c r="BK57" s="161" t="str">
        <f t="shared" ref="BK57:BK104" si="154">IF(AU57=2,AY57,"")</f>
        <v/>
      </c>
      <c r="BL57" s="161" t="str">
        <f t="shared" ref="BL57:BL104" si="155">IF(AU57=2,AZ57,"")</f>
        <v/>
      </c>
      <c r="BM57" s="161" t="str">
        <f t="shared" ref="BM57:BM104" si="156">IF(AU57=2,BA57,"")</f>
        <v/>
      </c>
      <c r="BN57" s="161" t="str">
        <f t="shared" ref="BN57:BN104" si="157">IF(AU57=2,BB57,"")</f>
        <v/>
      </c>
      <c r="BO57" s="161" t="str">
        <f t="shared" ref="BO57:BO104" si="158">IF(AU57=2,BC57,"")</f>
        <v/>
      </c>
    </row>
    <row r="58" spans="1:76" ht="16.5" customHeight="1" x14ac:dyDescent="0.2">
      <c r="A58" s="41"/>
      <c r="B58" s="42"/>
      <c r="C58" s="43"/>
      <c r="D58" s="43"/>
      <c r="E58" s="42"/>
      <c r="F58" s="44"/>
      <c r="G58" s="34"/>
      <c r="H58" s="34"/>
      <c r="I58" s="45"/>
      <c r="J58" s="19"/>
      <c r="K58" s="22" t="str">
        <f>VLOOKUP(4,AB58:AI61,2,FALSE)</f>
        <v>Barcelona</v>
      </c>
      <c r="L58" s="23">
        <f>VLOOKUP(4,AB58:AI61,3,FALSE)</f>
        <v>3</v>
      </c>
      <c r="M58" s="23">
        <f>VLOOKUP(4,AB58:AI61,4,FALSE)</f>
        <v>1</v>
      </c>
      <c r="N58" s="23">
        <f>VLOOKUP(4,AB58:AI61,5,FALSE)</f>
        <v>0</v>
      </c>
      <c r="O58" s="23" t="str">
        <f>CONCATENATE(VLOOKUP(4,AB58:AI61,6,FALSE)," - ",VLOOKUP(4,AB58:AI61,7,FALSE))</f>
        <v>9 - 2</v>
      </c>
      <c r="P58" s="24">
        <f>VLOOKUP(4,AB58:AI61,8,FALSE)</f>
        <v>10</v>
      </c>
      <c r="Q58" s="19"/>
      <c r="R58" s="42"/>
      <c r="S58" s="43"/>
      <c r="T58" s="43"/>
      <c r="U58" s="42"/>
      <c r="V58" s="42"/>
      <c r="W58" s="46"/>
      <c r="X58" s="46"/>
      <c r="Y58" s="46"/>
      <c r="Z58" s="46"/>
      <c r="AB58" s="160">
        <f>IF(AJ58&gt;AJ58,1,0)+IF(AJ58&gt;AJ59,1,0)+IF(AJ58&gt;AJ60,1,0)+IF(AJ58&gt;AJ61,1,0)+1</f>
        <v>2</v>
      </c>
      <c r="AC58" s="161" t="str">
        <f>INDEX(T,55,langID)</f>
        <v>Ajax</v>
      </c>
      <c r="AD58" s="162">
        <f>COUNTIF(BD9:BE104,CONCATENATE(AC58,"_win"))</f>
        <v>1</v>
      </c>
      <c r="AE58" s="162">
        <f>COUNTIF(BD9:BE104,CONCATENATE(AC58,"_draw"))</f>
        <v>1</v>
      </c>
      <c r="AF58" s="162">
        <f>COUNTIF(BD9:BE104,CONCATENATE(AC58,"_lose"))</f>
        <v>2</v>
      </c>
      <c r="AG58" s="162">
        <f>SUMIF(AZ9:AZ104,CONCATENATE("=",AC58),BA9:BA104)+SUMIF(AV9:AV104,CONCATENATE("=",AC58),AW9:AW104)</f>
        <v>3</v>
      </c>
      <c r="AH58" s="162">
        <f>SUMIF(BB9:BB104,CONCATENATE("=",AC58),BC9:BC104)+SUMIF(AX9:AX104,CONCATENATE("=",AC58),AY9:AY104)</f>
        <v>7</v>
      </c>
      <c r="AI58" s="162">
        <f>AD58*3+AE58</f>
        <v>4</v>
      </c>
      <c r="AJ58" s="162">
        <f>0.4+AG58+(AG58-AH58)*100+AD58*1000+AI58*10000000+AS58*10000</f>
        <v>40000603.399999999</v>
      </c>
      <c r="AK58" s="161">
        <f>IF(COUNTIF(AI58:AI61,CONCATENATE("=",AI58))=1,0,COUNTIF(AI58:AI61,CONCATENATE("=",AI58)))*AI58</f>
        <v>0</v>
      </c>
      <c r="AM58" s="162">
        <f>IF(AK58=AK62,AI58,IF(AK59=AK62,AI59,IF(AK60=AK62,AI60,AI61)))</f>
        <v>4</v>
      </c>
      <c r="AN58" s="162">
        <f>IF(AI58=AM58,1,0)</f>
        <v>1</v>
      </c>
      <c r="AO58" s="162">
        <f>COUNTIF(BF9:BG104,CONCATENATE(AC58,"_win"))</f>
        <v>0</v>
      </c>
      <c r="AP58" s="162">
        <f>SUMIF(BL9:BL104,CONCATENATE("=",AC58),BM9:BM104)*1.01+SUMIF(BH9:BH104,CONCATENATE("=",AC58),BI9:BI104)</f>
        <v>0</v>
      </c>
      <c r="AQ58" s="162">
        <f>SUMIF(BN9:BN104,CONCATENATE("=",AC58),BO9:BO104)+SUMIF(BJ9:BJ104,CONCATENATE("=",AC58),BK9:BK104)</f>
        <v>0</v>
      </c>
      <c r="AR58" s="161">
        <f>300*AO58+(AP58-AQ58)*10+AP58</f>
        <v>0</v>
      </c>
      <c r="AS58" s="161">
        <f>IF(AR58&gt;0,AR58,0)</f>
        <v>0</v>
      </c>
      <c r="AU58" s="161">
        <f>VLOOKUP(I34,AC9:AN61,12,FALSE)+VLOOKUP(F34,AC9:AN61,12,FALSE)</f>
        <v>0</v>
      </c>
      <c r="AV58" s="161" t="str">
        <f t="shared" si="139"/>
        <v>Schalke</v>
      </c>
      <c r="AW58" s="161">
        <f t="shared" si="140"/>
        <v>3</v>
      </c>
      <c r="AX58" s="161" t="str">
        <f t="shared" si="141"/>
        <v>Schalke</v>
      </c>
      <c r="AY58" s="161">
        <f t="shared" si="142"/>
        <v>0</v>
      </c>
      <c r="AZ58" s="161" t="str">
        <f t="shared" si="143"/>
        <v>Steaua Bucureşti</v>
      </c>
      <c r="BA58" s="161">
        <f t="shared" si="144"/>
        <v>0</v>
      </c>
      <c r="BB58" s="161" t="str">
        <f t="shared" si="145"/>
        <v>Steaua Bucureşti</v>
      </c>
      <c r="BC58" s="161">
        <f t="shared" si="146"/>
        <v>3</v>
      </c>
      <c r="BD58" s="161" t="str">
        <f t="shared" si="147"/>
        <v>Schalke_win</v>
      </c>
      <c r="BE58" s="161" t="str">
        <f t="shared" si="148"/>
        <v>Steaua Bucureşti_lose</v>
      </c>
      <c r="BF58" s="161" t="str">
        <f t="shared" si="149"/>
        <v/>
      </c>
      <c r="BG58" s="161" t="str">
        <f t="shared" si="150"/>
        <v/>
      </c>
      <c r="BH58" s="161" t="str">
        <f t="shared" si="151"/>
        <v/>
      </c>
      <c r="BI58" s="161" t="str">
        <f t="shared" si="152"/>
        <v/>
      </c>
      <c r="BJ58" s="161" t="str">
        <f t="shared" si="153"/>
        <v/>
      </c>
      <c r="BK58" s="161" t="str">
        <f t="shared" si="154"/>
        <v/>
      </c>
      <c r="BL58" s="161" t="str">
        <f t="shared" si="155"/>
        <v/>
      </c>
      <c r="BM58" s="161" t="str">
        <f t="shared" si="156"/>
        <v/>
      </c>
      <c r="BN58" s="161" t="str">
        <f t="shared" si="157"/>
        <v/>
      </c>
      <c r="BO58" s="161" t="str">
        <f t="shared" si="158"/>
        <v/>
      </c>
    </row>
    <row r="59" spans="1:76" ht="16.5" customHeight="1" x14ac:dyDescent="0.2">
      <c r="A59" s="41"/>
      <c r="B59" s="42"/>
      <c r="C59" s="43"/>
      <c r="D59" s="43"/>
      <c r="E59" s="42"/>
      <c r="F59" s="44"/>
      <c r="G59" s="34"/>
      <c r="H59" s="34"/>
      <c r="I59" s="45"/>
      <c r="J59" s="19"/>
      <c r="K59" s="25" t="str">
        <f>VLOOKUP(3,AB58:AI61,2,FALSE)</f>
        <v>Milan</v>
      </c>
      <c r="L59" s="26">
        <f>VLOOKUP(3,AB58:AI61,3,FALSE)</f>
        <v>1</v>
      </c>
      <c r="M59" s="26">
        <f>VLOOKUP(3,AB58:AI61,4,FALSE)</f>
        <v>2</v>
      </c>
      <c r="N59" s="26">
        <f>VLOOKUP(3,AB58:AI61,5,FALSE)</f>
        <v>1</v>
      </c>
      <c r="O59" s="26" t="str">
        <f>CONCATENATE(VLOOKUP(3,AB58:AI61,6,FALSE)," - ",VLOOKUP(3,AB58:AI61,7,FALSE))</f>
        <v>5 - 5</v>
      </c>
      <c r="P59" s="27">
        <f>VLOOKUP(3,AB58:AI61,8,FALSE)</f>
        <v>5</v>
      </c>
      <c r="Q59" s="19"/>
      <c r="R59" s="42"/>
      <c r="S59" s="43"/>
      <c r="T59" s="43"/>
      <c r="U59" s="42"/>
      <c r="V59" s="42"/>
      <c r="W59" s="46"/>
      <c r="X59" s="46"/>
      <c r="Y59" s="46"/>
      <c r="Z59" s="46"/>
      <c r="AB59" s="160">
        <f>IF(AJ59&gt;AJ58,1,0)+IF(AJ59&gt;AJ59,1,0)+IF(AJ59&gt;AJ60,1,0)+IF(AJ59&gt;AJ61,1,0)+1</f>
        <v>3</v>
      </c>
      <c r="AC59" s="161" t="str">
        <f>INDEX(T,56,langID)</f>
        <v>Milan</v>
      </c>
      <c r="AD59" s="162">
        <f>COUNTIF(BD9:BE104,CONCATENATE(AC59,"_win"))</f>
        <v>1</v>
      </c>
      <c r="AE59" s="162">
        <f>COUNTIF(BD9:BE104,CONCATENATE(AC59,"_draw"))</f>
        <v>2</v>
      </c>
      <c r="AF59" s="162">
        <f>COUNTIF(BD9:BE104,CONCATENATE(AC59,"_lose"))</f>
        <v>1</v>
      </c>
      <c r="AG59" s="162">
        <f>SUMIF(AZ9:AZ104,CONCATENATE("=",AC59),BA9:BA104)+SUMIF(AV9:AV104,CONCATENATE("=",AC59),AW9:AW104)</f>
        <v>5</v>
      </c>
      <c r="AH59" s="162">
        <f>SUMIF(BB9:BB104,CONCATENATE("=",AC59),BC9:BC104)+SUMIF(AX9:AX104,CONCATENATE("=",AC59),AY9:AY104)</f>
        <v>5</v>
      </c>
      <c r="AI59" s="162">
        <f>AD59*3+AE59</f>
        <v>5</v>
      </c>
      <c r="AJ59" s="162">
        <f>0.3+AG59+(AG59-AH59)*100+AD59*1000+AI59*10000000+AS59*10000</f>
        <v>50001005.299999997</v>
      </c>
      <c r="AK59" s="161">
        <f>IF(COUNTIF(AI58:AI61,CONCATENATE("=",AI59))=1,0,COUNTIF(AI58:AI61,CONCATENATE("=",AI59)))*AI59</f>
        <v>0</v>
      </c>
      <c r="AN59" s="162">
        <f>IF(AI59=AM58,1,0)</f>
        <v>0</v>
      </c>
      <c r="AO59" s="162">
        <f>COUNTIF(BF9:BG104,CONCATENATE(AC59,"_win"))</f>
        <v>0</v>
      </c>
      <c r="AP59" s="162">
        <f>SUMIF(BL9:BL104,CONCATENATE("=",AC59),BM9:BM104)*1.01+SUMIF(BH9:BH104,CONCATENATE("=",AC59),BI9:BI104)</f>
        <v>0</v>
      </c>
      <c r="AQ59" s="162">
        <f>SUMIF(BN9:BN104,CONCATENATE("=",AC59),BO9:BO104)+SUMIF(BJ9:BJ104,CONCATENATE("=",AC59),BK9:BK104)</f>
        <v>0</v>
      </c>
      <c r="AR59" s="161">
        <f>300*AO59+(AP59-AQ59)*10+AP59</f>
        <v>0</v>
      </c>
      <c r="AS59" s="161">
        <f>IF(AR59&gt;0,AR59,0)</f>
        <v>0</v>
      </c>
      <c r="AU59" s="161">
        <f>VLOOKUP(I35,AC9:AN61,12,FALSE)+VLOOKUP(F35,AC9:AN61,12,FALSE)</f>
        <v>0</v>
      </c>
      <c r="AV59" s="161" t="str">
        <f t="shared" si="139"/>
        <v>Steaua Bucureşti</v>
      </c>
      <c r="AW59" s="161">
        <f t="shared" si="140"/>
        <v>0</v>
      </c>
      <c r="AX59" s="161" t="str">
        <f t="shared" si="141"/>
        <v>Steaua Bucureşti</v>
      </c>
      <c r="AY59" s="161">
        <f t="shared" si="142"/>
        <v>4</v>
      </c>
      <c r="AZ59" s="161" t="str">
        <f t="shared" si="143"/>
        <v>Chelsea</v>
      </c>
      <c r="BA59" s="161">
        <f t="shared" si="144"/>
        <v>4</v>
      </c>
      <c r="BB59" s="161" t="str">
        <f t="shared" si="145"/>
        <v>Chelsea</v>
      </c>
      <c r="BC59" s="161">
        <f t="shared" si="146"/>
        <v>0</v>
      </c>
      <c r="BD59" s="161" t="str">
        <f t="shared" si="147"/>
        <v>Steaua Bucureşti_lose</v>
      </c>
      <c r="BE59" s="161" t="str">
        <f t="shared" si="148"/>
        <v>Chelsea_win</v>
      </c>
      <c r="BF59" s="161" t="str">
        <f t="shared" si="149"/>
        <v/>
      </c>
      <c r="BG59" s="161" t="str">
        <f t="shared" si="150"/>
        <v/>
      </c>
      <c r="BH59" s="161" t="str">
        <f t="shared" si="151"/>
        <v/>
      </c>
      <c r="BI59" s="161" t="str">
        <f t="shared" si="152"/>
        <v/>
      </c>
      <c r="BJ59" s="161" t="str">
        <f t="shared" si="153"/>
        <v/>
      </c>
      <c r="BK59" s="161" t="str">
        <f t="shared" si="154"/>
        <v/>
      </c>
      <c r="BL59" s="161" t="str">
        <f t="shared" si="155"/>
        <v/>
      </c>
      <c r="BM59" s="161" t="str">
        <f t="shared" si="156"/>
        <v/>
      </c>
      <c r="BN59" s="161" t="str">
        <f t="shared" si="157"/>
        <v/>
      </c>
      <c r="BO59" s="161" t="str">
        <f t="shared" si="158"/>
        <v/>
      </c>
    </row>
    <row r="60" spans="1:76" ht="16.5" customHeight="1" x14ac:dyDescent="0.2">
      <c r="A60" s="41"/>
      <c r="B60" s="42"/>
      <c r="C60" s="43"/>
      <c r="D60" s="43"/>
      <c r="E60" s="42"/>
      <c r="F60" s="44"/>
      <c r="G60" s="34"/>
      <c r="H60" s="34"/>
      <c r="I60" s="45"/>
      <c r="J60" s="19"/>
      <c r="K60" s="25" t="str">
        <f>VLOOKUP(2,AB58:AI61,2,FALSE)</f>
        <v>Ajax</v>
      </c>
      <c r="L60" s="26">
        <f>VLOOKUP(2,AB58:AI61,3,FALSE)</f>
        <v>1</v>
      </c>
      <c r="M60" s="26">
        <f>VLOOKUP(2,AB58:AI61,4,FALSE)</f>
        <v>1</v>
      </c>
      <c r="N60" s="26">
        <f>VLOOKUP(2,AB58:AI61,5,FALSE)</f>
        <v>2</v>
      </c>
      <c r="O60" s="26" t="str">
        <f>CONCATENATE(VLOOKUP(2,AB58:AI61,6,FALSE)," - ",VLOOKUP(2,AB58:AI61,7,FALSE))</f>
        <v>3 - 7</v>
      </c>
      <c r="P60" s="27">
        <f>VLOOKUP(2,AB58:AI61,8,FALSE)</f>
        <v>4</v>
      </c>
      <c r="Q60" s="19"/>
      <c r="R60" s="42"/>
      <c r="S60" s="43"/>
      <c r="T60" s="43"/>
      <c r="U60" s="42"/>
      <c r="V60" s="42"/>
      <c r="W60" s="46"/>
      <c r="X60" s="46"/>
      <c r="Y60" s="46"/>
      <c r="Z60" s="46"/>
      <c r="AB60" s="160">
        <f>IF(AJ60&gt;AJ58,1,0)+IF(AJ60&gt;AJ59,1,0)+IF(AJ60&gt;AJ60,1,0)+IF(AJ60&gt;AJ61,1,0)+1</f>
        <v>1</v>
      </c>
      <c r="AC60" s="161" t="str">
        <f>INDEX(T,57,langID)</f>
        <v>Celtic</v>
      </c>
      <c r="AD60" s="162">
        <f>COUNTIF(BD9:BE104,CONCATENATE(AC60,"_win"))</f>
        <v>1</v>
      </c>
      <c r="AE60" s="162">
        <f>COUNTIF(BD9:BE104,CONCATENATE(AC60,"_draw"))</f>
        <v>0</v>
      </c>
      <c r="AF60" s="162">
        <f>COUNTIF(BD9:BE104,CONCATENATE(AC60,"_lose"))</f>
        <v>3</v>
      </c>
      <c r="AG60" s="162">
        <f>SUMIF(AZ9:AZ104,CONCATENATE("=",AC60),BA9:BA104)+SUMIF(AV9:AV104,CONCATENATE("=",AC60),AW9:AW104)</f>
        <v>2</v>
      </c>
      <c r="AH60" s="162">
        <f>SUMIF(BB9:BB104,CONCATENATE("=",AC60),BC9:BC104)+SUMIF(AX9:AX104,CONCATENATE("=",AC60),AY9:AY104)</f>
        <v>5</v>
      </c>
      <c r="AI60" s="162">
        <f>AD60*3+AE60</f>
        <v>3</v>
      </c>
      <c r="AJ60" s="162">
        <f>0.2+AG60+(AG60-AH60)*100+AD60*1000+AI60*10000000+AS60*10000</f>
        <v>30000702.199999999</v>
      </c>
      <c r="AK60" s="161">
        <f>IF(COUNTIF(AI58:AI61,CONCATENATE("=",AI60))=1,0,COUNTIF(AI58:AI61,CONCATENATE("=",AI60)))*AI60</f>
        <v>0</v>
      </c>
      <c r="AN60" s="162">
        <f>IF(AI60=AM58,1,0)</f>
        <v>0</v>
      </c>
      <c r="AO60" s="162">
        <f>COUNTIF(BF9:BG104,CONCATENATE(AC60,"_win"))</f>
        <v>0</v>
      </c>
      <c r="AP60" s="162">
        <f>SUMIF(BL9:BL104,CONCATENATE("=",AC60),BM9:BM104)*1.01+SUMIF(BH9:BH104,CONCATENATE("=",AC60),BI9:BI104)</f>
        <v>0</v>
      </c>
      <c r="AQ60" s="162">
        <f>SUMIF(BN9:BN104,CONCATENATE("=",AC60),BO9:BO104)+SUMIF(BJ9:BJ104,CONCATENATE("=",AC60),BK9:BK104)</f>
        <v>0</v>
      </c>
      <c r="AR60" s="161">
        <f>300*AO60+(AP60-AQ60)*10+AP60</f>
        <v>0</v>
      </c>
      <c r="AS60" s="161">
        <f>IF(AR60&gt;0,AR60,0)</f>
        <v>0</v>
      </c>
      <c r="AU60" s="161">
        <f>VLOOKUP(I36,AC9:AN61,12,FALSE)+VLOOKUP(F36,AC9:AN61,12,FALSE)</f>
        <v>1</v>
      </c>
      <c r="AV60" s="161" t="str">
        <f t="shared" si="139"/>
        <v>Basel</v>
      </c>
      <c r="AW60" s="161">
        <f t="shared" si="140"/>
        <v>0</v>
      </c>
      <c r="AX60" s="161" t="str">
        <f t="shared" si="141"/>
        <v>Basel</v>
      </c>
      <c r="AY60" s="161">
        <f t="shared" si="142"/>
        <v>1</v>
      </c>
      <c r="AZ60" s="161" t="str">
        <f t="shared" si="143"/>
        <v>Schalke</v>
      </c>
      <c r="BA60" s="161">
        <f t="shared" si="144"/>
        <v>1</v>
      </c>
      <c r="BB60" s="161" t="str">
        <f t="shared" si="145"/>
        <v>Schalke</v>
      </c>
      <c r="BC60" s="161">
        <f t="shared" si="146"/>
        <v>0</v>
      </c>
      <c r="BD60" s="161" t="str">
        <f t="shared" si="147"/>
        <v>Basel_lose</v>
      </c>
      <c r="BE60" s="161" t="str">
        <f t="shared" si="148"/>
        <v>Schalke_win</v>
      </c>
      <c r="BF60" s="161" t="str">
        <f t="shared" si="149"/>
        <v/>
      </c>
      <c r="BG60" s="161" t="str">
        <f t="shared" si="150"/>
        <v/>
      </c>
      <c r="BH60" s="161" t="str">
        <f t="shared" si="151"/>
        <v/>
      </c>
      <c r="BI60" s="161" t="str">
        <f t="shared" si="152"/>
        <v/>
      </c>
      <c r="BJ60" s="161" t="str">
        <f t="shared" si="153"/>
        <v/>
      </c>
      <c r="BK60" s="161" t="str">
        <f t="shared" si="154"/>
        <v/>
      </c>
      <c r="BL60" s="161" t="str">
        <f t="shared" si="155"/>
        <v/>
      </c>
      <c r="BM60" s="161" t="str">
        <f t="shared" si="156"/>
        <v/>
      </c>
      <c r="BN60" s="161" t="str">
        <f t="shared" si="157"/>
        <v/>
      </c>
      <c r="BO60" s="161" t="str">
        <f t="shared" si="158"/>
        <v/>
      </c>
    </row>
    <row r="61" spans="1:76" ht="16.5" customHeight="1" x14ac:dyDescent="0.2">
      <c r="A61" s="41"/>
      <c r="B61" s="42"/>
      <c r="C61" s="43"/>
      <c r="D61" s="43"/>
      <c r="E61" s="42"/>
      <c r="F61" s="44"/>
      <c r="G61" s="34"/>
      <c r="H61" s="34"/>
      <c r="I61" s="45"/>
      <c r="J61" s="19"/>
      <c r="K61" s="31" t="str">
        <f>VLOOKUP(1,AB58:AI61,2,FALSE)</f>
        <v>Celtic</v>
      </c>
      <c r="L61" s="32">
        <f>VLOOKUP(1,AB58:AI61,3,FALSE)</f>
        <v>1</v>
      </c>
      <c r="M61" s="32">
        <f>VLOOKUP(1,AB58:AI61,4,FALSE)</f>
        <v>0</v>
      </c>
      <c r="N61" s="32">
        <f>VLOOKUP(1,AB58:AI61,5,FALSE)</f>
        <v>3</v>
      </c>
      <c r="O61" s="32" t="str">
        <f>CONCATENATE(VLOOKUP(1,AB58:AI61,6,FALSE)," - ",VLOOKUP(1,AB58:AI61,7,FALSE))</f>
        <v>2 - 5</v>
      </c>
      <c r="P61" s="33">
        <f>VLOOKUP(1,AB58:AI61,8,FALSE)</f>
        <v>3</v>
      </c>
      <c r="Q61" s="19"/>
      <c r="R61" s="42"/>
      <c r="S61" s="43"/>
      <c r="T61" s="43"/>
      <c r="U61" s="42"/>
      <c r="V61" s="42"/>
      <c r="W61" s="46"/>
      <c r="X61" s="46"/>
      <c r="Y61" s="46"/>
      <c r="Z61" s="46"/>
      <c r="AB61" s="160">
        <f>IF(AJ61&gt;AJ58,1,0)+IF(AJ61&gt;AJ59,1,0)+IF(AJ61&gt;AJ60,1,0)+IF(AJ61&gt;AJ61,1,0)+1</f>
        <v>4</v>
      </c>
      <c r="AC61" s="161" t="str">
        <f>INDEX(T,58,langID)</f>
        <v>Barcelona</v>
      </c>
      <c r="AD61" s="162">
        <f>COUNTIF(BD9:BE104,CONCATENATE(AC61,"_win"))</f>
        <v>3</v>
      </c>
      <c r="AE61" s="162">
        <f>COUNTIF(BD9:BE104,CONCATENATE(AC61,"_draw"))</f>
        <v>1</v>
      </c>
      <c r="AF61" s="162">
        <f>COUNTIF(BD9:BE104,CONCATENATE(AC61,"_lose"))</f>
        <v>0</v>
      </c>
      <c r="AG61" s="162">
        <f>SUMIF(AZ9:AZ104,CONCATENATE("=",AC61),BA9:BA104)+SUMIF(AV9:AV104,CONCATENATE("=",AC61),AW9:AW104)</f>
        <v>9</v>
      </c>
      <c r="AH61" s="162">
        <f>SUMIF(BB9:BB104,CONCATENATE("=",AC61),BC9:BC104)+SUMIF(AX9:AX104,CONCATENATE("=",AC61),AY9:AY104)</f>
        <v>2</v>
      </c>
      <c r="AI61" s="162">
        <f>AD61*3+AE61</f>
        <v>10</v>
      </c>
      <c r="AJ61" s="162">
        <f>0.1+AG61+(AG61-AH61)*100+AD61*1000+AI61*10000000+AS61*10000</f>
        <v>100003709.09999999</v>
      </c>
      <c r="AK61" s="161">
        <f>IF(COUNTIF(AI58:AI61,CONCATENATE("=",AI61))=1,0,COUNTIF(AI58:AI61,CONCATENATE("=",AI61)))*AI61</f>
        <v>0</v>
      </c>
      <c r="AN61" s="162">
        <f>IF(AI61=AM58,1,0)</f>
        <v>0</v>
      </c>
      <c r="AO61" s="162">
        <f>COUNTIF(BF9:BG104,CONCATENATE(AC61,"_win"))</f>
        <v>0</v>
      </c>
      <c r="AP61" s="162">
        <f>SUMIF(BL9:BL104,CONCATENATE("=",AC61),BM9:BM104)*1.01+SUMIF(BH9:BH104,CONCATENATE("=",AC61),BI9:BI104)</f>
        <v>0</v>
      </c>
      <c r="AQ61" s="162">
        <f>SUMIF(BN9:BN104,CONCATENATE("=",AC61),BO9:BO104)+SUMIF(BJ9:BJ104,CONCATENATE("=",AC61),BK9:BK104)</f>
        <v>0</v>
      </c>
      <c r="AR61" s="161">
        <f>300*AO61+(AP61-AQ61)*10+AP61</f>
        <v>0</v>
      </c>
      <c r="AS61" s="161">
        <f>IF(AR61&gt;0,AR61,0)</f>
        <v>0</v>
      </c>
      <c r="AU61" s="161">
        <f>VLOOKUP(I37,AC9:AN61,12,FALSE)+VLOOKUP(F37,AC9:AN61,12,FALSE)</f>
        <v>1</v>
      </c>
      <c r="AV61" s="161" t="str">
        <f t="shared" si="139"/>
        <v>Steaua Bucureşti</v>
      </c>
      <c r="AW61" s="161">
        <f t="shared" si="140"/>
        <v>1</v>
      </c>
      <c r="AX61" s="161" t="str">
        <f t="shared" si="141"/>
        <v>Steaua Bucureşti</v>
      </c>
      <c r="AY61" s="161">
        <f t="shared" si="142"/>
        <v>1</v>
      </c>
      <c r="AZ61" s="161" t="str">
        <f t="shared" si="143"/>
        <v>Basel</v>
      </c>
      <c r="BA61" s="161">
        <f t="shared" si="144"/>
        <v>1</v>
      </c>
      <c r="BB61" s="161" t="str">
        <f t="shared" si="145"/>
        <v>Basel</v>
      </c>
      <c r="BC61" s="161">
        <f t="shared" si="146"/>
        <v>1</v>
      </c>
      <c r="BD61" s="161" t="str">
        <f t="shared" si="147"/>
        <v>Steaua Bucureşti_draw</v>
      </c>
      <c r="BE61" s="161" t="str">
        <f t="shared" si="148"/>
        <v>Basel_draw</v>
      </c>
      <c r="BF61" s="161" t="str">
        <f t="shared" si="149"/>
        <v/>
      </c>
      <c r="BG61" s="161" t="str">
        <f t="shared" si="150"/>
        <v/>
      </c>
      <c r="BH61" s="161" t="str">
        <f t="shared" si="151"/>
        <v/>
      </c>
      <c r="BI61" s="161" t="str">
        <f t="shared" si="152"/>
        <v/>
      </c>
      <c r="BJ61" s="161" t="str">
        <f t="shared" si="153"/>
        <v/>
      </c>
      <c r="BK61" s="161" t="str">
        <f t="shared" si="154"/>
        <v/>
      </c>
      <c r="BL61" s="161" t="str">
        <f t="shared" si="155"/>
        <v/>
      </c>
      <c r="BM61" s="161" t="str">
        <f t="shared" si="156"/>
        <v/>
      </c>
      <c r="BN61" s="161" t="str">
        <f t="shared" si="157"/>
        <v/>
      </c>
      <c r="BO61" s="161" t="str">
        <f t="shared" si="158"/>
        <v/>
      </c>
    </row>
    <row r="62" spans="1:76" ht="16.5" hidden="1" customHeight="1" x14ac:dyDescent="0.2">
      <c r="W62" s="111"/>
      <c r="X62" s="111"/>
      <c r="Y62" s="111"/>
      <c r="Z62" s="111"/>
      <c r="AK62" s="161">
        <f>MAX(AK58:AK61)</f>
        <v>0</v>
      </c>
      <c r="AU62" s="161">
        <f>VLOOKUP(I38,AC9:AN61,12,FALSE)+VLOOKUP(F38,AC9:AN61,12,FALSE)</f>
        <v>0</v>
      </c>
      <c r="AV62" s="161" t="str">
        <f t="shared" si="139"/>
        <v>Schalke</v>
      </c>
      <c r="AW62" s="161">
        <f t="shared" si="140"/>
        <v>0</v>
      </c>
      <c r="AX62" s="161" t="str">
        <f t="shared" si="141"/>
        <v>Schalke</v>
      </c>
      <c r="AY62" s="161">
        <f t="shared" si="142"/>
        <v>3</v>
      </c>
      <c r="AZ62" s="161" t="str">
        <f t="shared" si="143"/>
        <v>Chelsea</v>
      </c>
      <c r="BA62" s="161">
        <f t="shared" si="144"/>
        <v>3</v>
      </c>
      <c r="BB62" s="161" t="str">
        <f t="shared" si="145"/>
        <v>Chelsea</v>
      </c>
      <c r="BC62" s="161">
        <f t="shared" si="146"/>
        <v>0</v>
      </c>
      <c r="BD62" s="161" t="str">
        <f t="shared" si="147"/>
        <v>Schalke_lose</v>
      </c>
      <c r="BE62" s="161" t="str">
        <f t="shared" si="148"/>
        <v>Chelsea_win</v>
      </c>
      <c r="BF62" s="161" t="str">
        <f t="shared" si="149"/>
        <v/>
      </c>
      <c r="BG62" s="161" t="str">
        <f t="shared" si="150"/>
        <v/>
      </c>
      <c r="BH62" s="161" t="str">
        <f t="shared" si="151"/>
        <v/>
      </c>
      <c r="BI62" s="161" t="str">
        <f t="shared" si="152"/>
        <v/>
      </c>
      <c r="BJ62" s="161" t="str">
        <f t="shared" si="153"/>
        <v/>
      </c>
      <c r="BK62" s="161" t="str">
        <f t="shared" si="154"/>
        <v/>
      </c>
      <c r="BL62" s="161" t="str">
        <f t="shared" si="155"/>
        <v/>
      </c>
      <c r="BM62" s="161" t="str">
        <f t="shared" si="156"/>
        <v/>
      </c>
      <c r="BN62" s="161" t="str">
        <f t="shared" si="157"/>
        <v/>
      </c>
      <c r="BO62" s="161" t="str">
        <f t="shared" si="158"/>
        <v/>
      </c>
    </row>
    <row r="63" spans="1:76" ht="16.5" hidden="1" customHeight="1" x14ac:dyDescent="0.2">
      <c r="W63" s="111"/>
      <c r="X63" s="111"/>
      <c r="Y63" s="111"/>
      <c r="Z63" s="111"/>
      <c r="AU63" s="161">
        <f>VLOOKUP(I39,AC9:AN61,12,FALSE)+VLOOKUP(F39,AC9:AN61,12,FALSE)</f>
        <v>1</v>
      </c>
      <c r="AV63" s="161" t="str">
        <f t="shared" si="139"/>
        <v>Basel</v>
      </c>
      <c r="AW63" s="161">
        <f t="shared" si="140"/>
        <v>1</v>
      </c>
      <c r="AX63" s="161" t="str">
        <f t="shared" si="141"/>
        <v>Basel</v>
      </c>
      <c r="AY63" s="161">
        <f t="shared" si="142"/>
        <v>1</v>
      </c>
      <c r="AZ63" s="161" t="str">
        <f t="shared" si="143"/>
        <v>Steaua Bucureşti</v>
      </c>
      <c r="BA63" s="161">
        <f t="shared" si="144"/>
        <v>1</v>
      </c>
      <c r="BB63" s="161" t="str">
        <f t="shared" si="145"/>
        <v>Steaua Bucureşti</v>
      </c>
      <c r="BC63" s="161">
        <f t="shared" si="146"/>
        <v>1</v>
      </c>
      <c r="BD63" s="161" t="str">
        <f t="shared" si="147"/>
        <v>Basel_draw</v>
      </c>
      <c r="BE63" s="161" t="str">
        <f t="shared" si="148"/>
        <v>Steaua Bucureşti_draw</v>
      </c>
      <c r="BF63" s="161" t="str">
        <f t="shared" si="149"/>
        <v/>
      </c>
      <c r="BG63" s="161" t="str">
        <f t="shared" si="150"/>
        <v/>
      </c>
      <c r="BH63" s="161" t="str">
        <f t="shared" si="151"/>
        <v/>
      </c>
      <c r="BI63" s="161" t="str">
        <f t="shared" si="152"/>
        <v/>
      </c>
      <c r="BJ63" s="161" t="str">
        <f t="shared" si="153"/>
        <v/>
      </c>
      <c r="BK63" s="161" t="str">
        <f t="shared" si="154"/>
        <v/>
      </c>
      <c r="BL63" s="161" t="str">
        <f t="shared" si="155"/>
        <v/>
      </c>
      <c r="BM63" s="161" t="str">
        <f t="shared" si="156"/>
        <v/>
      </c>
      <c r="BN63" s="161" t="str">
        <f t="shared" si="157"/>
        <v/>
      </c>
      <c r="BO63" s="161" t="str">
        <f t="shared" si="158"/>
        <v/>
      </c>
    </row>
    <row r="64" spans="1:76" ht="16.5" hidden="1" customHeight="1" x14ac:dyDescent="0.2">
      <c r="W64" s="111"/>
      <c r="X64" s="111"/>
      <c r="Y64" s="111"/>
      <c r="Z64" s="111"/>
      <c r="AU64" s="161">
        <f>VLOOKUP(I40,AC9:AN61,12,FALSE)+VLOOKUP(F40,AC9:AN61,12,FALSE)</f>
        <v>0</v>
      </c>
      <c r="AV64" s="161" t="str">
        <f t="shared" si="139"/>
        <v>Chelsea</v>
      </c>
      <c r="AW64" s="161">
        <f t="shared" si="140"/>
        <v>3</v>
      </c>
      <c r="AX64" s="161" t="str">
        <f t="shared" si="141"/>
        <v>Chelsea</v>
      </c>
      <c r="AY64" s="161">
        <f t="shared" si="142"/>
        <v>0</v>
      </c>
      <c r="AZ64" s="161" t="str">
        <f t="shared" si="143"/>
        <v>Schalke</v>
      </c>
      <c r="BA64" s="161">
        <f t="shared" si="144"/>
        <v>0</v>
      </c>
      <c r="BB64" s="161" t="str">
        <f t="shared" si="145"/>
        <v>Schalke</v>
      </c>
      <c r="BC64" s="161">
        <f t="shared" si="146"/>
        <v>3</v>
      </c>
      <c r="BD64" s="161" t="str">
        <f t="shared" si="147"/>
        <v>Chelsea_win</v>
      </c>
      <c r="BE64" s="161" t="str">
        <f t="shared" si="148"/>
        <v>Schalke_lose</v>
      </c>
      <c r="BF64" s="161" t="str">
        <f t="shared" si="149"/>
        <v/>
      </c>
      <c r="BG64" s="161" t="str">
        <f t="shared" si="150"/>
        <v/>
      </c>
      <c r="BH64" s="161" t="str">
        <f t="shared" si="151"/>
        <v/>
      </c>
      <c r="BI64" s="161" t="str">
        <f t="shared" si="152"/>
        <v/>
      </c>
      <c r="BJ64" s="161" t="str">
        <f t="shared" si="153"/>
        <v/>
      </c>
      <c r="BK64" s="161" t="str">
        <f t="shared" si="154"/>
        <v/>
      </c>
      <c r="BL64" s="161" t="str">
        <f t="shared" si="155"/>
        <v/>
      </c>
      <c r="BM64" s="161" t="str">
        <f t="shared" si="156"/>
        <v/>
      </c>
      <c r="BN64" s="161" t="str">
        <f t="shared" si="157"/>
        <v/>
      </c>
      <c r="BO64" s="161" t="str">
        <f t="shared" si="158"/>
        <v/>
      </c>
    </row>
    <row r="65" spans="23:67" ht="16.5" hidden="1" customHeight="1" x14ac:dyDescent="0.2">
      <c r="W65" s="111"/>
      <c r="X65" s="111"/>
      <c r="Y65" s="111"/>
      <c r="Z65" s="111"/>
      <c r="AU65" s="161">
        <f>VLOOKUP(I41,AC9:AN61,12,FALSE)+VLOOKUP(F41,AC9:AN61,12,FALSE)</f>
        <v>1</v>
      </c>
      <c r="AV65" s="161" t="str">
        <f t="shared" si="139"/>
        <v>Basel</v>
      </c>
      <c r="AW65" s="161">
        <f t="shared" si="140"/>
        <v>0</v>
      </c>
      <c r="AX65" s="161" t="str">
        <f t="shared" si="141"/>
        <v>Basel</v>
      </c>
      <c r="AY65" s="161">
        <f t="shared" si="142"/>
        <v>0</v>
      </c>
      <c r="AZ65" s="161" t="str">
        <f t="shared" si="143"/>
        <v>Chelsea</v>
      </c>
      <c r="BA65" s="161">
        <f t="shared" si="144"/>
        <v>0</v>
      </c>
      <c r="BB65" s="161" t="str">
        <f t="shared" si="145"/>
        <v>Chelsea</v>
      </c>
      <c r="BC65" s="161">
        <f t="shared" si="146"/>
        <v>0</v>
      </c>
      <c r="BD65" s="161" t="str">
        <f t="shared" si="147"/>
        <v/>
      </c>
      <c r="BE65" s="161" t="str">
        <f t="shared" si="148"/>
        <v/>
      </c>
      <c r="BF65" s="161" t="str">
        <f t="shared" si="149"/>
        <v/>
      </c>
      <c r="BG65" s="161" t="str">
        <f t="shared" si="150"/>
        <v/>
      </c>
      <c r="BH65" s="161" t="str">
        <f t="shared" si="151"/>
        <v/>
      </c>
      <c r="BI65" s="161" t="str">
        <f t="shared" si="152"/>
        <v/>
      </c>
      <c r="BJ65" s="161" t="str">
        <f t="shared" si="153"/>
        <v/>
      </c>
      <c r="BK65" s="161" t="str">
        <f t="shared" si="154"/>
        <v/>
      </c>
      <c r="BL65" s="161" t="str">
        <f t="shared" si="155"/>
        <v/>
      </c>
      <c r="BM65" s="161" t="str">
        <f t="shared" si="156"/>
        <v/>
      </c>
      <c r="BN65" s="161" t="str">
        <f t="shared" si="157"/>
        <v/>
      </c>
      <c r="BO65" s="161" t="str">
        <f t="shared" si="158"/>
        <v/>
      </c>
    </row>
    <row r="66" spans="23:67" ht="16.5" hidden="1" customHeight="1" x14ac:dyDescent="0.2">
      <c r="W66" s="111"/>
      <c r="X66" s="111"/>
      <c r="Y66" s="111"/>
      <c r="Z66" s="111"/>
      <c r="AU66" s="161">
        <f>VLOOKUP(I42,AC9:AN61,12,FALSE)+VLOOKUP(F42,AC9:AN61,12,FALSE)</f>
        <v>0</v>
      </c>
      <c r="AV66" s="161" t="str">
        <f t="shared" si="139"/>
        <v>Steaua Bucureşti</v>
      </c>
      <c r="AW66" s="161">
        <f t="shared" si="140"/>
        <v>0</v>
      </c>
      <c r="AX66" s="161" t="str">
        <f t="shared" si="141"/>
        <v>Steaua Bucureşti</v>
      </c>
      <c r="AY66" s="161">
        <f t="shared" si="142"/>
        <v>0</v>
      </c>
      <c r="AZ66" s="161" t="str">
        <f t="shared" si="143"/>
        <v>Schalke</v>
      </c>
      <c r="BA66" s="161">
        <f t="shared" si="144"/>
        <v>0</v>
      </c>
      <c r="BB66" s="161" t="str">
        <f t="shared" si="145"/>
        <v>Schalke</v>
      </c>
      <c r="BC66" s="161">
        <f t="shared" si="146"/>
        <v>0</v>
      </c>
      <c r="BD66" s="161" t="str">
        <f t="shared" si="147"/>
        <v/>
      </c>
      <c r="BE66" s="161" t="str">
        <f t="shared" si="148"/>
        <v/>
      </c>
      <c r="BF66" s="161" t="str">
        <f t="shared" si="149"/>
        <v/>
      </c>
      <c r="BG66" s="161" t="str">
        <f t="shared" si="150"/>
        <v/>
      </c>
      <c r="BH66" s="161" t="str">
        <f t="shared" si="151"/>
        <v/>
      </c>
      <c r="BI66" s="161" t="str">
        <f t="shared" si="152"/>
        <v/>
      </c>
      <c r="BJ66" s="161" t="str">
        <f t="shared" si="153"/>
        <v/>
      </c>
      <c r="BK66" s="161" t="str">
        <f t="shared" si="154"/>
        <v/>
      </c>
      <c r="BL66" s="161" t="str">
        <f t="shared" si="155"/>
        <v/>
      </c>
      <c r="BM66" s="161" t="str">
        <f t="shared" si="156"/>
        <v/>
      </c>
      <c r="BN66" s="161" t="str">
        <f t="shared" si="157"/>
        <v/>
      </c>
      <c r="BO66" s="161" t="str">
        <f t="shared" si="158"/>
        <v/>
      </c>
    </row>
    <row r="67" spans="23:67" ht="16.5" hidden="1" customHeight="1" x14ac:dyDescent="0.2">
      <c r="W67" s="111"/>
      <c r="X67" s="111"/>
      <c r="Y67" s="111"/>
      <c r="Z67" s="111"/>
      <c r="AU67" s="161">
        <f>VLOOKUP(I43,AC9:AN61,12,FALSE)+VLOOKUP(F43,AC9:AN61,12,FALSE)</f>
        <v>0</v>
      </c>
      <c r="AV67" s="161" t="str">
        <f t="shared" si="139"/>
        <v>Chelsea</v>
      </c>
      <c r="AW67" s="161">
        <f t="shared" si="140"/>
        <v>0</v>
      </c>
      <c r="AX67" s="161" t="str">
        <f t="shared" si="141"/>
        <v>Chelsea</v>
      </c>
      <c r="AY67" s="161">
        <f t="shared" si="142"/>
        <v>0</v>
      </c>
      <c r="AZ67" s="161" t="str">
        <f t="shared" si="143"/>
        <v>Steaua Bucureşti</v>
      </c>
      <c r="BA67" s="161">
        <f t="shared" si="144"/>
        <v>0</v>
      </c>
      <c r="BB67" s="161" t="str">
        <f t="shared" si="145"/>
        <v>Steaua Bucureşti</v>
      </c>
      <c r="BC67" s="161">
        <f t="shared" si="146"/>
        <v>0</v>
      </c>
      <c r="BD67" s="161" t="str">
        <f t="shared" si="147"/>
        <v/>
      </c>
      <c r="BE67" s="161" t="str">
        <f t="shared" si="148"/>
        <v/>
      </c>
      <c r="BF67" s="161" t="str">
        <f t="shared" si="149"/>
        <v/>
      </c>
      <c r="BG67" s="161" t="str">
        <f t="shared" si="150"/>
        <v/>
      </c>
      <c r="BH67" s="161" t="str">
        <f t="shared" si="151"/>
        <v/>
      </c>
      <c r="BI67" s="161" t="str">
        <f t="shared" si="152"/>
        <v/>
      </c>
      <c r="BJ67" s="161" t="str">
        <f t="shared" si="153"/>
        <v/>
      </c>
      <c r="BK67" s="161" t="str">
        <f t="shared" si="154"/>
        <v/>
      </c>
      <c r="BL67" s="161" t="str">
        <f t="shared" si="155"/>
        <v/>
      </c>
      <c r="BM67" s="161" t="str">
        <f t="shared" si="156"/>
        <v/>
      </c>
      <c r="BN67" s="161" t="str">
        <f t="shared" si="157"/>
        <v/>
      </c>
      <c r="BO67" s="161" t="str">
        <f t="shared" si="158"/>
        <v/>
      </c>
    </row>
    <row r="68" spans="23:67" ht="16.5" hidden="1" customHeight="1" x14ac:dyDescent="0.2">
      <c r="W68" s="111"/>
      <c r="X68" s="111"/>
      <c r="Y68" s="111"/>
      <c r="Z68" s="111"/>
      <c r="AU68" s="161">
        <f>VLOOKUP(I44,AC9:AN61,12,FALSE)+VLOOKUP(F44,AC9:AN61,12,FALSE)</f>
        <v>1</v>
      </c>
      <c r="AV68" s="161" t="str">
        <f t="shared" si="139"/>
        <v>Schalke</v>
      </c>
      <c r="AW68" s="161">
        <f t="shared" si="140"/>
        <v>0</v>
      </c>
      <c r="AX68" s="161" t="str">
        <f t="shared" si="141"/>
        <v>Schalke</v>
      </c>
      <c r="AY68" s="161">
        <f t="shared" si="142"/>
        <v>0</v>
      </c>
      <c r="AZ68" s="161" t="str">
        <f t="shared" si="143"/>
        <v>Basel</v>
      </c>
      <c r="BA68" s="161">
        <f t="shared" si="144"/>
        <v>0</v>
      </c>
      <c r="BB68" s="161" t="str">
        <f t="shared" si="145"/>
        <v>Basel</v>
      </c>
      <c r="BC68" s="161">
        <f t="shared" si="146"/>
        <v>0</v>
      </c>
      <c r="BD68" s="161" t="str">
        <f t="shared" si="147"/>
        <v/>
      </c>
      <c r="BE68" s="161" t="str">
        <f t="shared" si="148"/>
        <v/>
      </c>
      <c r="BF68" s="161" t="str">
        <f t="shared" si="149"/>
        <v/>
      </c>
      <c r="BG68" s="161" t="str">
        <f t="shared" si="150"/>
        <v/>
      </c>
      <c r="BH68" s="161" t="str">
        <f t="shared" si="151"/>
        <v/>
      </c>
      <c r="BI68" s="161" t="str">
        <f t="shared" si="152"/>
        <v/>
      </c>
      <c r="BJ68" s="161" t="str">
        <f t="shared" si="153"/>
        <v/>
      </c>
      <c r="BK68" s="161" t="str">
        <f t="shared" si="154"/>
        <v/>
      </c>
      <c r="BL68" s="161" t="str">
        <f t="shared" si="155"/>
        <v/>
      </c>
      <c r="BM68" s="161" t="str">
        <f t="shared" si="156"/>
        <v/>
      </c>
      <c r="BN68" s="161" t="str">
        <f t="shared" si="157"/>
        <v/>
      </c>
      <c r="BO68" s="161" t="str">
        <f t="shared" si="158"/>
        <v/>
      </c>
    </row>
    <row r="69" spans="23:67" ht="16.5" hidden="1" customHeight="1" x14ac:dyDescent="0.2">
      <c r="W69" s="111"/>
      <c r="X69" s="111"/>
      <c r="Y69" s="111"/>
      <c r="Z69" s="111"/>
      <c r="AU69" s="161">
        <f>VLOOKUP(Y33,AC9:AN61,12,FALSE)+VLOOKUP(V33,AC9:AN61,12,FALSE)</f>
        <v>1</v>
      </c>
      <c r="AV69" s="161" t="str">
        <f t="shared" ref="AV69:AV80" si="159">V33</f>
        <v>Napoli</v>
      </c>
      <c r="AW69" s="161">
        <f t="shared" ref="AW69:AW80" si="160">W33</f>
        <v>2</v>
      </c>
      <c r="AX69" s="161" t="str">
        <f t="shared" ref="AX69:AX80" si="161">V33</f>
        <v>Napoli</v>
      </c>
      <c r="AY69" s="161">
        <f t="shared" ref="AY69:AY80" si="162">X33</f>
        <v>1</v>
      </c>
      <c r="AZ69" s="161" t="str">
        <f t="shared" ref="AZ69:AZ80" si="163">Y33</f>
        <v>Borussia Dortmund</v>
      </c>
      <c r="BA69" s="161">
        <f t="shared" ref="BA69:BA80" si="164">X33</f>
        <v>1</v>
      </c>
      <c r="BB69" s="161" t="str">
        <f t="shared" ref="BB69:BB80" si="165">Y33</f>
        <v>Borussia Dortmund</v>
      </c>
      <c r="BC69" s="161">
        <f t="shared" ref="BC69:BC80" si="166">W33</f>
        <v>2</v>
      </c>
      <c r="BD69" s="161" t="str">
        <f t="shared" ref="BD69:BD80" si="167">IF(W33="","",IF(X33="","",IF(W33&gt;X33,CONCATENATE(V33,"_win"),IF(W33&lt;X33,CONCATENATE(V33,"_lose"),CONCATENATE(V33,"_draw")))))</f>
        <v>Napoli_win</v>
      </c>
      <c r="BE69" s="161" t="str">
        <f t="shared" ref="BE69:BE80" si="168">IF(W33="","",IF(X33="","",IF(W33&gt;X33,CONCATENATE(Y33,"_lose"),IF(W33&lt;X33,CONCATENATE(Y33,"_win"),CONCATENATE(Y33,"_draw")))))</f>
        <v>Borussia Dortmund_lose</v>
      </c>
      <c r="BF69" s="161" t="str">
        <f t="shared" ref="BF69:BF80" si="169">IF(AU69=2,IF(W33="","",IF(X33="","",IF(W33&gt;X33,CONCATENATE(V33,"_win"),IF(W33&lt;X33,CONCATENATE(V33,"_lose"),CONCATENATE(V33,"_draw"))))),"")</f>
        <v/>
      </c>
      <c r="BG69" s="161" t="str">
        <f t="shared" ref="BG69:BG80" si="170">IF(AU69=2,IF(W33="","",IF(X33="","",IF(W33&gt;X33,CONCATENATE(Y33,"_lose"),IF(W33&lt;X33,CONCATENATE(Y33,"_win"),CONCATENATE(Y33,"_draw"))))),"")</f>
        <v/>
      </c>
      <c r="BH69" s="161" t="str">
        <f t="shared" si="151"/>
        <v/>
      </c>
      <c r="BI69" s="161" t="str">
        <f t="shared" si="152"/>
        <v/>
      </c>
      <c r="BJ69" s="161" t="str">
        <f t="shared" si="153"/>
        <v/>
      </c>
      <c r="BK69" s="161" t="str">
        <f t="shared" si="154"/>
        <v/>
      </c>
      <c r="BL69" s="161" t="str">
        <f t="shared" si="155"/>
        <v/>
      </c>
      <c r="BM69" s="161" t="str">
        <f t="shared" si="156"/>
        <v/>
      </c>
      <c r="BN69" s="161" t="str">
        <f t="shared" si="157"/>
        <v/>
      </c>
      <c r="BO69" s="161" t="str">
        <f t="shared" si="158"/>
        <v/>
      </c>
    </row>
    <row r="70" spans="23:67" ht="16.5" hidden="1" customHeight="1" x14ac:dyDescent="0.2">
      <c r="W70" s="111"/>
      <c r="X70" s="111"/>
      <c r="Y70" s="111"/>
      <c r="Z70" s="111"/>
      <c r="AU70" s="161">
        <f>VLOOKUP(Y34,AC9:AN61,12,FALSE)+VLOOKUP(V34,AC9:AN61,12,FALSE)</f>
        <v>1</v>
      </c>
      <c r="AV70" s="161" t="str">
        <f t="shared" si="159"/>
        <v>Olympique de Marseille</v>
      </c>
      <c r="AW70" s="161">
        <f t="shared" si="160"/>
        <v>1</v>
      </c>
      <c r="AX70" s="161" t="str">
        <f t="shared" si="161"/>
        <v>Olympique de Marseille</v>
      </c>
      <c r="AY70" s="161">
        <f t="shared" si="162"/>
        <v>2</v>
      </c>
      <c r="AZ70" s="161" t="str">
        <f t="shared" si="163"/>
        <v>Arsenal</v>
      </c>
      <c r="BA70" s="161">
        <f t="shared" si="164"/>
        <v>2</v>
      </c>
      <c r="BB70" s="161" t="str">
        <f t="shared" si="165"/>
        <v>Arsenal</v>
      </c>
      <c r="BC70" s="161">
        <f t="shared" si="166"/>
        <v>1</v>
      </c>
      <c r="BD70" s="161" t="str">
        <f t="shared" si="167"/>
        <v>Olympique de Marseille_lose</v>
      </c>
      <c r="BE70" s="161" t="str">
        <f t="shared" si="168"/>
        <v>Arsenal_win</v>
      </c>
      <c r="BF70" s="161" t="str">
        <f t="shared" si="169"/>
        <v/>
      </c>
      <c r="BG70" s="161" t="str">
        <f t="shared" si="170"/>
        <v/>
      </c>
      <c r="BH70" s="161" t="str">
        <f t="shared" si="151"/>
        <v/>
      </c>
      <c r="BI70" s="161" t="str">
        <f t="shared" si="152"/>
        <v/>
      </c>
      <c r="BJ70" s="161" t="str">
        <f t="shared" si="153"/>
        <v/>
      </c>
      <c r="BK70" s="161" t="str">
        <f t="shared" si="154"/>
        <v/>
      </c>
      <c r="BL70" s="161" t="str">
        <f t="shared" si="155"/>
        <v/>
      </c>
      <c r="BM70" s="161" t="str">
        <f t="shared" si="156"/>
        <v/>
      </c>
      <c r="BN70" s="161" t="str">
        <f t="shared" si="157"/>
        <v/>
      </c>
      <c r="BO70" s="161" t="str">
        <f t="shared" si="158"/>
        <v/>
      </c>
    </row>
    <row r="71" spans="23:67" ht="16.5" hidden="1" customHeight="1" x14ac:dyDescent="0.2">
      <c r="W71" s="111"/>
      <c r="X71" s="111"/>
      <c r="Y71" s="111"/>
      <c r="Z71" s="111"/>
      <c r="AU71" s="161">
        <f>VLOOKUP(Y35,AC9:AN61,12,FALSE)+VLOOKUP(V35,AC9:AN61,12,FALSE)</f>
        <v>2</v>
      </c>
      <c r="AV71" s="161" t="str">
        <f t="shared" si="159"/>
        <v>Arsenal</v>
      </c>
      <c r="AW71" s="161">
        <f t="shared" si="160"/>
        <v>2</v>
      </c>
      <c r="AX71" s="161" t="str">
        <f t="shared" si="161"/>
        <v>Arsenal</v>
      </c>
      <c r="AY71" s="161">
        <f t="shared" si="162"/>
        <v>0</v>
      </c>
      <c r="AZ71" s="161" t="str">
        <f t="shared" si="163"/>
        <v>Napoli</v>
      </c>
      <c r="BA71" s="161">
        <f t="shared" si="164"/>
        <v>0</v>
      </c>
      <c r="BB71" s="161" t="str">
        <f t="shared" si="165"/>
        <v>Napoli</v>
      </c>
      <c r="BC71" s="161">
        <f t="shared" si="166"/>
        <v>2</v>
      </c>
      <c r="BD71" s="161" t="str">
        <f t="shared" si="167"/>
        <v>Arsenal_win</v>
      </c>
      <c r="BE71" s="161" t="str">
        <f t="shared" si="168"/>
        <v>Napoli_lose</v>
      </c>
      <c r="BF71" s="161" t="str">
        <f t="shared" si="169"/>
        <v>Arsenal_win</v>
      </c>
      <c r="BG71" s="161" t="str">
        <f t="shared" si="170"/>
        <v>Napoli_lose</v>
      </c>
      <c r="BH71" s="161" t="str">
        <f t="shared" si="151"/>
        <v>Arsenal</v>
      </c>
      <c r="BI71" s="161">
        <f t="shared" si="152"/>
        <v>2</v>
      </c>
      <c r="BJ71" s="161" t="str">
        <f t="shared" si="153"/>
        <v>Arsenal</v>
      </c>
      <c r="BK71" s="161">
        <f t="shared" si="154"/>
        <v>0</v>
      </c>
      <c r="BL71" s="161" t="str">
        <f t="shared" si="155"/>
        <v>Napoli</v>
      </c>
      <c r="BM71" s="161">
        <f t="shared" si="156"/>
        <v>0</v>
      </c>
      <c r="BN71" s="161" t="str">
        <f t="shared" si="157"/>
        <v>Napoli</v>
      </c>
      <c r="BO71" s="161">
        <f t="shared" si="158"/>
        <v>2</v>
      </c>
    </row>
    <row r="72" spans="23:67" ht="16.5" hidden="1" customHeight="1" x14ac:dyDescent="0.2">
      <c r="W72" s="111"/>
      <c r="X72" s="111"/>
      <c r="Y72" s="111"/>
      <c r="Z72" s="111"/>
      <c r="AU72" s="161">
        <f>VLOOKUP(Y36,AC9:AN61,12,FALSE)+VLOOKUP(V36,AC9:AN61,12,FALSE)</f>
        <v>0</v>
      </c>
      <c r="AV72" s="161" t="str">
        <f t="shared" si="159"/>
        <v>Borussia Dortmund</v>
      </c>
      <c r="AW72" s="161">
        <f t="shared" si="160"/>
        <v>3</v>
      </c>
      <c r="AX72" s="161" t="str">
        <f t="shared" si="161"/>
        <v>Borussia Dortmund</v>
      </c>
      <c r="AY72" s="161">
        <f t="shared" si="162"/>
        <v>0</v>
      </c>
      <c r="AZ72" s="161" t="str">
        <f t="shared" si="163"/>
        <v>Olympique de Marseille</v>
      </c>
      <c r="BA72" s="161">
        <f t="shared" si="164"/>
        <v>0</v>
      </c>
      <c r="BB72" s="161" t="str">
        <f t="shared" si="165"/>
        <v>Olympique de Marseille</v>
      </c>
      <c r="BC72" s="161">
        <f t="shared" si="166"/>
        <v>3</v>
      </c>
      <c r="BD72" s="161" t="str">
        <f t="shared" si="167"/>
        <v>Borussia Dortmund_win</v>
      </c>
      <c r="BE72" s="161" t="str">
        <f t="shared" si="168"/>
        <v>Olympique de Marseille_lose</v>
      </c>
      <c r="BF72" s="161" t="str">
        <f t="shared" si="169"/>
        <v/>
      </c>
      <c r="BG72" s="161" t="str">
        <f t="shared" si="170"/>
        <v/>
      </c>
      <c r="BH72" s="161" t="str">
        <f t="shared" si="151"/>
        <v/>
      </c>
      <c r="BI72" s="161" t="str">
        <f t="shared" si="152"/>
        <v/>
      </c>
      <c r="BJ72" s="161" t="str">
        <f t="shared" si="153"/>
        <v/>
      </c>
      <c r="BK72" s="161" t="str">
        <f t="shared" si="154"/>
        <v/>
      </c>
      <c r="BL72" s="161" t="str">
        <f t="shared" si="155"/>
        <v/>
      </c>
      <c r="BM72" s="161" t="str">
        <f t="shared" si="156"/>
        <v/>
      </c>
      <c r="BN72" s="161" t="str">
        <f t="shared" si="157"/>
        <v/>
      </c>
      <c r="BO72" s="161" t="str">
        <f t="shared" si="158"/>
        <v/>
      </c>
    </row>
    <row r="73" spans="23:67" ht="16.5" hidden="1" customHeight="1" x14ac:dyDescent="0.2">
      <c r="W73" s="111"/>
      <c r="X73" s="111"/>
      <c r="Y73" s="111"/>
      <c r="Z73" s="111"/>
      <c r="AU73" s="161">
        <f>VLOOKUP(Y37,AC9:AN61,12,FALSE)+VLOOKUP(V37,AC9:AN61,12,FALSE)</f>
        <v>1</v>
      </c>
      <c r="AV73" s="161" t="str">
        <f t="shared" si="159"/>
        <v>Arsenal</v>
      </c>
      <c r="AW73" s="161">
        <f t="shared" si="160"/>
        <v>1</v>
      </c>
      <c r="AX73" s="161" t="str">
        <f t="shared" si="161"/>
        <v>Arsenal</v>
      </c>
      <c r="AY73" s="161">
        <f t="shared" si="162"/>
        <v>2</v>
      </c>
      <c r="AZ73" s="161" t="str">
        <f t="shared" si="163"/>
        <v>Borussia Dortmund</v>
      </c>
      <c r="BA73" s="161">
        <f t="shared" si="164"/>
        <v>2</v>
      </c>
      <c r="BB73" s="161" t="str">
        <f t="shared" si="165"/>
        <v>Borussia Dortmund</v>
      </c>
      <c r="BC73" s="161">
        <f t="shared" si="166"/>
        <v>1</v>
      </c>
      <c r="BD73" s="161" t="str">
        <f t="shared" si="167"/>
        <v>Arsenal_lose</v>
      </c>
      <c r="BE73" s="161" t="str">
        <f t="shared" si="168"/>
        <v>Borussia Dortmund_win</v>
      </c>
      <c r="BF73" s="161" t="str">
        <f t="shared" si="169"/>
        <v/>
      </c>
      <c r="BG73" s="161" t="str">
        <f t="shared" si="170"/>
        <v/>
      </c>
      <c r="BH73" s="161" t="str">
        <f t="shared" si="151"/>
        <v/>
      </c>
      <c r="BI73" s="161" t="str">
        <f t="shared" si="152"/>
        <v/>
      </c>
      <c r="BJ73" s="161" t="str">
        <f t="shared" si="153"/>
        <v/>
      </c>
      <c r="BK73" s="161" t="str">
        <f t="shared" si="154"/>
        <v/>
      </c>
      <c r="BL73" s="161" t="str">
        <f t="shared" si="155"/>
        <v/>
      </c>
      <c r="BM73" s="161" t="str">
        <f t="shared" si="156"/>
        <v/>
      </c>
      <c r="BN73" s="161" t="str">
        <f t="shared" si="157"/>
        <v/>
      </c>
      <c r="BO73" s="161" t="str">
        <f t="shared" si="158"/>
        <v/>
      </c>
    </row>
    <row r="74" spans="23:67" ht="16.5" hidden="1" customHeight="1" x14ac:dyDescent="0.2">
      <c r="W74" s="111"/>
      <c r="X74" s="111"/>
      <c r="Y74" s="111"/>
      <c r="Z74" s="111"/>
      <c r="AU74" s="161">
        <f>VLOOKUP(Y38,AC9:AN61,12,FALSE)+VLOOKUP(V38,AC9:AN61,12,FALSE)</f>
        <v>1</v>
      </c>
      <c r="AV74" s="161" t="str">
        <f t="shared" si="159"/>
        <v>Olympique de Marseille</v>
      </c>
      <c r="AW74" s="161">
        <f t="shared" si="160"/>
        <v>1</v>
      </c>
      <c r="AX74" s="161" t="str">
        <f t="shared" si="161"/>
        <v>Olympique de Marseille</v>
      </c>
      <c r="AY74" s="161">
        <f t="shared" si="162"/>
        <v>2</v>
      </c>
      <c r="AZ74" s="161" t="str">
        <f t="shared" si="163"/>
        <v>Napoli</v>
      </c>
      <c r="BA74" s="161">
        <f t="shared" si="164"/>
        <v>2</v>
      </c>
      <c r="BB74" s="161" t="str">
        <f t="shared" si="165"/>
        <v>Napoli</v>
      </c>
      <c r="BC74" s="161">
        <f t="shared" si="166"/>
        <v>1</v>
      </c>
      <c r="BD74" s="161" t="str">
        <f t="shared" si="167"/>
        <v>Olympique de Marseille_lose</v>
      </c>
      <c r="BE74" s="161" t="str">
        <f t="shared" si="168"/>
        <v>Napoli_win</v>
      </c>
      <c r="BF74" s="161" t="str">
        <f t="shared" si="169"/>
        <v/>
      </c>
      <c r="BG74" s="161" t="str">
        <f t="shared" si="170"/>
        <v/>
      </c>
      <c r="BH74" s="161" t="str">
        <f t="shared" si="151"/>
        <v/>
      </c>
      <c r="BI74" s="161" t="str">
        <f t="shared" si="152"/>
        <v/>
      </c>
      <c r="BJ74" s="161" t="str">
        <f t="shared" si="153"/>
        <v/>
      </c>
      <c r="BK74" s="161" t="str">
        <f t="shared" si="154"/>
        <v/>
      </c>
      <c r="BL74" s="161" t="str">
        <f t="shared" si="155"/>
        <v/>
      </c>
      <c r="BM74" s="161" t="str">
        <f t="shared" si="156"/>
        <v/>
      </c>
      <c r="BN74" s="161" t="str">
        <f t="shared" si="157"/>
        <v/>
      </c>
      <c r="BO74" s="161" t="str">
        <f t="shared" si="158"/>
        <v/>
      </c>
    </row>
    <row r="75" spans="23:67" ht="16.5" hidden="1" customHeight="1" x14ac:dyDescent="0.2">
      <c r="W75" s="111"/>
      <c r="X75" s="111"/>
      <c r="Y75" s="111"/>
      <c r="Z75" s="111"/>
      <c r="AU75" s="161">
        <f>VLOOKUP(Y39,AC9:AN61,12,FALSE)+VLOOKUP(V39,AC9:AN61,12,FALSE)</f>
        <v>1</v>
      </c>
      <c r="AV75" s="161" t="str">
        <f t="shared" si="159"/>
        <v>Borussia Dortmund</v>
      </c>
      <c r="AW75" s="161">
        <f t="shared" si="160"/>
        <v>0</v>
      </c>
      <c r="AX75" s="161" t="str">
        <f t="shared" si="161"/>
        <v>Borussia Dortmund</v>
      </c>
      <c r="AY75" s="161">
        <f t="shared" si="162"/>
        <v>1</v>
      </c>
      <c r="AZ75" s="161" t="str">
        <f t="shared" si="163"/>
        <v>Arsenal</v>
      </c>
      <c r="BA75" s="161">
        <f t="shared" si="164"/>
        <v>1</v>
      </c>
      <c r="BB75" s="161" t="str">
        <f t="shared" si="165"/>
        <v>Arsenal</v>
      </c>
      <c r="BC75" s="161">
        <f t="shared" si="166"/>
        <v>0</v>
      </c>
      <c r="BD75" s="161" t="str">
        <f t="shared" si="167"/>
        <v>Borussia Dortmund_lose</v>
      </c>
      <c r="BE75" s="161" t="str">
        <f t="shared" si="168"/>
        <v>Arsenal_win</v>
      </c>
      <c r="BF75" s="161" t="str">
        <f t="shared" si="169"/>
        <v/>
      </c>
      <c r="BG75" s="161" t="str">
        <f t="shared" si="170"/>
        <v/>
      </c>
      <c r="BH75" s="161" t="str">
        <f t="shared" si="151"/>
        <v/>
      </c>
      <c r="BI75" s="161" t="str">
        <f t="shared" si="152"/>
        <v/>
      </c>
      <c r="BJ75" s="161" t="str">
        <f t="shared" si="153"/>
        <v/>
      </c>
      <c r="BK75" s="161" t="str">
        <f t="shared" si="154"/>
        <v/>
      </c>
      <c r="BL75" s="161" t="str">
        <f t="shared" si="155"/>
        <v/>
      </c>
      <c r="BM75" s="161" t="str">
        <f t="shared" si="156"/>
        <v/>
      </c>
      <c r="BN75" s="161" t="str">
        <f t="shared" si="157"/>
        <v/>
      </c>
      <c r="BO75" s="161" t="str">
        <f t="shared" si="158"/>
        <v/>
      </c>
    </row>
    <row r="76" spans="23:67" ht="16.5" hidden="1" customHeight="1" x14ac:dyDescent="0.2">
      <c r="W76" s="111"/>
      <c r="X76" s="111"/>
      <c r="Y76" s="111"/>
      <c r="Z76" s="111"/>
      <c r="AU76" s="161">
        <f>VLOOKUP(Y40,AC9:AN61,12,FALSE)+VLOOKUP(V40,AC9:AN61,12,FALSE)</f>
        <v>1</v>
      </c>
      <c r="AV76" s="161" t="str">
        <f t="shared" si="159"/>
        <v>Napoli</v>
      </c>
      <c r="AW76" s="161">
        <f t="shared" si="160"/>
        <v>3</v>
      </c>
      <c r="AX76" s="161" t="str">
        <f t="shared" si="161"/>
        <v>Napoli</v>
      </c>
      <c r="AY76" s="161">
        <f t="shared" si="162"/>
        <v>2</v>
      </c>
      <c r="AZ76" s="161" t="str">
        <f t="shared" si="163"/>
        <v>Olympique de Marseille</v>
      </c>
      <c r="BA76" s="161">
        <f t="shared" si="164"/>
        <v>2</v>
      </c>
      <c r="BB76" s="161" t="str">
        <f t="shared" si="165"/>
        <v>Olympique de Marseille</v>
      </c>
      <c r="BC76" s="161">
        <f t="shared" si="166"/>
        <v>3</v>
      </c>
      <c r="BD76" s="161" t="str">
        <f t="shared" si="167"/>
        <v>Napoli_win</v>
      </c>
      <c r="BE76" s="161" t="str">
        <f t="shared" si="168"/>
        <v>Olympique de Marseille_lose</v>
      </c>
      <c r="BF76" s="161" t="str">
        <f t="shared" si="169"/>
        <v/>
      </c>
      <c r="BG76" s="161" t="str">
        <f t="shared" si="170"/>
        <v/>
      </c>
      <c r="BH76" s="161" t="str">
        <f t="shared" si="151"/>
        <v/>
      </c>
      <c r="BI76" s="161" t="str">
        <f t="shared" si="152"/>
        <v/>
      </c>
      <c r="BJ76" s="161" t="str">
        <f t="shared" si="153"/>
        <v/>
      </c>
      <c r="BK76" s="161" t="str">
        <f t="shared" si="154"/>
        <v/>
      </c>
      <c r="BL76" s="161" t="str">
        <f t="shared" si="155"/>
        <v/>
      </c>
      <c r="BM76" s="161" t="str">
        <f t="shared" si="156"/>
        <v/>
      </c>
      <c r="BN76" s="161" t="str">
        <f t="shared" si="157"/>
        <v/>
      </c>
      <c r="BO76" s="161" t="str">
        <f t="shared" si="158"/>
        <v/>
      </c>
    </row>
    <row r="77" spans="23:67" ht="16.5" hidden="1" customHeight="1" x14ac:dyDescent="0.2">
      <c r="W77" s="111"/>
      <c r="X77" s="111"/>
      <c r="Y77" s="111"/>
      <c r="Z77" s="111"/>
      <c r="AU77" s="161">
        <f>VLOOKUP(Y41,AC9:AN61,12,FALSE)+VLOOKUP(V41,AC9:AN61,12,FALSE)</f>
        <v>1</v>
      </c>
      <c r="AV77" s="161" t="str">
        <f t="shared" si="159"/>
        <v>Borussia Dortmund</v>
      </c>
      <c r="AW77" s="161">
        <f t="shared" si="160"/>
        <v>0</v>
      </c>
      <c r="AX77" s="161" t="str">
        <f t="shared" si="161"/>
        <v>Borussia Dortmund</v>
      </c>
      <c r="AY77" s="161">
        <f t="shared" si="162"/>
        <v>0</v>
      </c>
      <c r="AZ77" s="161" t="str">
        <f t="shared" si="163"/>
        <v>Napoli</v>
      </c>
      <c r="BA77" s="161">
        <f t="shared" si="164"/>
        <v>0</v>
      </c>
      <c r="BB77" s="161" t="str">
        <f t="shared" si="165"/>
        <v>Napoli</v>
      </c>
      <c r="BC77" s="161">
        <f t="shared" si="166"/>
        <v>0</v>
      </c>
      <c r="BD77" s="161" t="str">
        <f t="shared" si="167"/>
        <v/>
      </c>
      <c r="BE77" s="161" t="str">
        <f t="shared" si="168"/>
        <v/>
      </c>
      <c r="BF77" s="161" t="str">
        <f t="shared" si="169"/>
        <v/>
      </c>
      <c r="BG77" s="161" t="str">
        <f t="shared" si="170"/>
        <v/>
      </c>
      <c r="BH77" s="161" t="str">
        <f t="shared" si="151"/>
        <v/>
      </c>
      <c r="BI77" s="161" t="str">
        <f t="shared" si="152"/>
        <v/>
      </c>
      <c r="BJ77" s="161" t="str">
        <f t="shared" si="153"/>
        <v/>
      </c>
      <c r="BK77" s="161" t="str">
        <f t="shared" si="154"/>
        <v/>
      </c>
      <c r="BL77" s="161" t="str">
        <f t="shared" si="155"/>
        <v/>
      </c>
      <c r="BM77" s="161" t="str">
        <f t="shared" si="156"/>
        <v/>
      </c>
      <c r="BN77" s="161" t="str">
        <f t="shared" si="157"/>
        <v/>
      </c>
      <c r="BO77" s="161" t="str">
        <f t="shared" si="158"/>
        <v/>
      </c>
    </row>
    <row r="78" spans="23:67" ht="16.5" hidden="1" customHeight="1" x14ac:dyDescent="0.2">
      <c r="W78" s="111"/>
      <c r="X78" s="111"/>
      <c r="Y78" s="111"/>
      <c r="Z78" s="111"/>
      <c r="AU78" s="161">
        <f>VLOOKUP(Y42,AC9:AN61,12,FALSE)+VLOOKUP(V42,AC9:AN61,12,FALSE)</f>
        <v>1</v>
      </c>
      <c r="AV78" s="161" t="str">
        <f t="shared" si="159"/>
        <v>Arsenal</v>
      </c>
      <c r="AW78" s="161">
        <f t="shared" si="160"/>
        <v>0</v>
      </c>
      <c r="AX78" s="161" t="str">
        <f t="shared" si="161"/>
        <v>Arsenal</v>
      </c>
      <c r="AY78" s="161">
        <f t="shared" si="162"/>
        <v>0</v>
      </c>
      <c r="AZ78" s="161" t="str">
        <f t="shared" si="163"/>
        <v>Olympique de Marseille</v>
      </c>
      <c r="BA78" s="161">
        <f t="shared" si="164"/>
        <v>0</v>
      </c>
      <c r="BB78" s="161" t="str">
        <f t="shared" si="165"/>
        <v>Olympique de Marseille</v>
      </c>
      <c r="BC78" s="161">
        <f t="shared" si="166"/>
        <v>0</v>
      </c>
      <c r="BD78" s="161" t="str">
        <f t="shared" si="167"/>
        <v/>
      </c>
      <c r="BE78" s="161" t="str">
        <f t="shared" si="168"/>
        <v/>
      </c>
      <c r="BF78" s="161" t="str">
        <f t="shared" si="169"/>
        <v/>
      </c>
      <c r="BG78" s="161" t="str">
        <f t="shared" si="170"/>
        <v/>
      </c>
      <c r="BH78" s="161" t="str">
        <f t="shared" si="151"/>
        <v/>
      </c>
      <c r="BI78" s="161" t="str">
        <f t="shared" si="152"/>
        <v/>
      </c>
      <c r="BJ78" s="161" t="str">
        <f t="shared" si="153"/>
        <v/>
      </c>
      <c r="BK78" s="161" t="str">
        <f t="shared" si="154"/>
        <v/>
      </c>
      <c r="BL78" s="161" t="str">
        <f t="shared" si="155"/>
        <v/>
      </c>
      <c r="BM78" s="161" t="str">
        <f t="shared" si="156"/>
        <v/>
      </c>
      <c r="BN78" s="161" t="str">
        <f t="shared" si="157"/>
        <v/>
      </c>
      <c r="BO78" s="161" t="str">
        <f t="shared" si="158"/>
        <v/>
      </c>
    </row>
    <row r="79" spans="23:67" ht="16.5" hidden="1" customHeight="1" x14ac:dyDescent="0.2">
      <c r="W79" s="111"/>
      <c r="X79" s="111"/>
      <c r="Y79" s="111"/>
      <c r="Z79" s="111"/>
      <c r="AU79" s="161">
        <f>VLOOKUP(Y43,AC9:AN61,12,FALSE)+VLOOKUP(V43,AC9:AN61,12,FALSE)</f>
        <v>2</v>
      </c>
      <c r="AV79" s="161" t="str">
        <f t="shared" si="159"/>
        <v>Napoli</v>
      </c>
      <c r="AW79" s="161">
        <f t="shared" si="160"/>
        <v>0</v>
      </c>
      <c r="AX79" s="161" t="str">
        <f t="shared" si="161"/>
        <v>Napoli</v>
      </c>
      <c r="AY79" s="161">
        <f t="shared" si="162"/>
        <v>0</v>
      </c>
      <c r="AZ79" s="161" t="str">
        <f t="shared" si="163"/>
        <v>Arsenal</v>
      </c>
      <c r="BA79" s="161">
        <f t="shared" si="164"/>
        <v>0</v>
      </c>
      <c r="BB79" s="161" t="str">
        <f t="shared" si="165"/>
        <v>Arsenal</v>
      </c>
      <c r="BC79" s="161">
        <f t="shared" si="166"/>
        <v>0</v>
      </c>
      <c r="BD79" s="161" t="str">
        <f t="shared" si="167"/>
        <v/>
      </c>
      <c r="BE79" s="161" t="str">
        <f t="shared" si="168"/>
        <v/>
      </c>
      <c r="BF79" s="161" t="str">
        <f t="shared" si="169"/>
        <v/>
      </c>
      <c r="BG79" s="161" t="str">
        <f t="shared" si="170"/>
        <v/>
      </c>
      <c r="BH79" s="161" t="str">
        <f t="shared" si="151"/>
        <v>Napoli</v>
      </c>
      <c r="BI79" s="161">
        <f t="shared" si="152"/>
        <v>0</v>
      </c>
      <c r="BJ79" s="161" t="str">
        <f t="shared" si="153"/>
        <v>Napoli</v>
      </c>
      <c r="BK79" s="161">
        <f t="shared" si="154"/>
        <v>0</v>
      </c>
      <c r="BL79" s="161" t="str">
        <f t="shared" si="155"/>
        <v>Arsenal</v>
      </c>
      <c r="BM79" s="161">
        <f t="shared" si="156"/>
        <v>0</v>
      </c>
      <c r="BN79" s="161" t="str">
        <f t="shared" si="157"/>
        <v>Arsenal</v>
      </c>
      <c r="BO79" s="161">
        <f t="shared" si="158"/>
        <v>0</v>
      </c>
    </row>
    <row r="80" spans="23:67" ht="16.5" hidden="1" customHeight="1" x14ac:dyDescent="0.2">
      <c r="W80" s="111"/>
      <c r="X80" s="111"/>
      <c r="Y80" s="111"/>
      <c r="Z80" s="111"/>
      <c r="AU80" s="161">
        <f>VLOOKUP(Y44,AC9:AN61,12,FALSE)+VLOOKUP(V44,AC9:AN61,12,FALSE)</f>
        <v>0</v>
      </c>
      <c r="AV80" s="161" t="str">
        <f t="shared" si="159"/>
        <v>Olympique de Marseille</v>
      </c>
      <c r="AW80" s="161">
        <f t="shared" si="160"/>
        <v>0</v>
      </c>
      <c r="AX80" s="161" t="str">
        <f t="shared" si="161"/>
        <v>Olympique de Marseille</v>
      </c>
      <c r="AY80" s="161">
        <f t="shared" si="162"/>
        <v>0</v>
      </c>
      <c r="AZ80" s="161" t="str">
        <f t="shared" si="163"/>
        <v>Borussia Dortmund</v>
      </c>
      <c r="BA80" s="161">
        <f t="shared" si="164"/>
        <v>0</v>
      </c>
      <c r="BB80" s="161" t="str">
        <f t="shared" si="165"/>
        <v>Borussia Dortmund</v>
      </c>
      <c r="BC80" s="161">
        <f t="shared" si="166"/>
        <v>0</v>
      </c>
      <c r="BD80" s="161" t="str">
        <f t="shared" si="167"/>
        <v/>
      </c>
      <c r="BE80" s="161" t="str">
        <f t="shared" si="168"/>
        <v/>
      </c>
      <c r="BF80" s="161" t="str">
        <f t="shared" si="169"/>
        <v/>
      </c>
      <c r="BG80" s="161" t="str">
        <f t="shared" si="170"/>
        <v/>
      </c>
      <c r="BH80" s="161" t="str">
        <f t="shared" si="151"/>
        <v/>
      </c>
      <c r="BI80" s="161" t="str">
        <f t="shared" si="152"/>
        <v/>
      </c>
      <c r="BJ80" s="161" t="str">
        <f t="shared" si="153"/>
        <v/>
      </c>
      <c r="BK80" s="161" t="str">
        <f t="shared" si="154"/>
        <v/>
      </c>
      <c r="BL80" s="161" t="str">
        <f t="shared" si="155"/>
        <v/>
      </c>
      <c r="BM80" s="161" t="str">
        <f t="shared" si="156"/>
        <v/>
      </c>
      <c r="BN80" s="161" t="str">
        <f t="shared" si="157"/>
        <v/>
      </c>
      <c r="BO80" s="161" t="str">
        <f t="shared" si="158"/>
        <v/>
      </c>
    </row>
    <row r="81" spans="23:67" ht="16.5" hidden="1" customHeight="1" x14ac:dyDescent="0.2">
      <c r="W81" s="111"/>
      <c r="X81" s="111"/>
      <c r="Y81" s="111"/>
      <c r="Z81" s="111"/>
      <c r="AU81" s="161">
        <f>VLOOKUP(I45,AC9:AN61,12,FALSE)+VLOOKUP(F45,AC9:AN61,12,FALSE)</f>
        <v>1</v>
      </c>
      <c r="AV81" s="161" t="str">
        <f t="shared" ref="AV81:AV92" si="171">F45</f>
        <v>Atlético de Madrid</v>
      </c>
      <c r="AW81" s="161">
        <f t="shared" ref="AW81:AW92" si="172">G45</f>
        <v>3</v>
      </c>
      <c r="AX81" s="161" t="str">
        <f t="shared" ref="AX81:AX92" si="173">F45</f>
        <v>Atlético de Madrid</v>
      </c>
      <c r="AY81" s="161">
        <f t="shared" ref="AY81:AY92" si="174">H45</f>
        <v>1</v>
      </c>
      <c r="AZ81" s="161" t="str">
        <f t="shared" ref="AZ81:AZ92" si="175">I45</f>
        <v>Zenit</v>
      </c>
      <c r="BA81" s="161">
        <f t="shared" ref="BA81:BA92" si="176">H45</f>
        <v>1</v>
      </c>
      <c r="BB81" s="161" t="str">
        <f t="shared" ref="BB81:BB92" si="177">I45</f>
        <v>Zenit</v>
      </c>
      <c r="BC81" s="161">
        <f t="shared" ref="BC81:BC92" si="178">G45</f>
        <v>3</v>
      </c>
      <c r="BD81" s="161" t="str">
        <f t="shared" ref="BD81:BD92" si="179">IF(G45="","",IF(H45="","",IF(G45&gt;H45,CONCATENATE(F45,"_win"),IF(G45&lt;H45,CONCATENATE(F45,"_lose"),CONCATENATE(F45,"_draw")))))</f>
        <v>Atlético de Madrid_win</v>
      </c>
      <c r="BE81" s="161" t="str">
        <f t="shared" ref="BE81:BE92" si="180">IF(G45="","",IF(H45="","",IF(G45&gt;H45,CONCATENATE(I45,"_lose"),IF(G45&lt;H45,CONCATENATE(I45,"_win"),CONCATENATE(I45,"_draw")))))</f>
        <v>Zenit_lose</v>
      </c>
      <c r="BF81" s="161" t="str">
        <f t="shared" ref="BF81:BF92" si="181">IF(AU81=2,IF(G45="","",IF(H45="","",IF(G45&gt;H45,CONCATENATE(F45,"_win"),IF(G45&lt;H45,CONCATENATE(F45,"_lose"),CONCATENATE(F45,"_draw"))))),"")</f>
        <v/>
      </c>
      <c r="BG81" s="161" t="str">
        <f t="shared" ref="BG81:BG92" si="182">IF(AU81=2,IF(G45="","",IF(H45="","",IF(G45&gt;H45,CONCATENATE(I45,"_lose"),IF(G45&lt;H45,CONCATENATE(I45,"_win"),CONCATENATE(I45,"_draw"))))),"")</f>
        <v/>
      </c>
      <c r="BH81" s="161" t="str">
        <f t="shared" si="151"/>
        <v/>
      </c>
      <c r="BI81" s="161" t="str">
        <f t="shared" si="152"/>
        <v/>
      </c>
      <c r="BJ81" s="161" t="str">
        <f t="shared" si="153"/>
        <v/>
      </c>
      <c r="BK81" s="161" t="str">
        <f t="shared" si="154"/>
        <v/>
      </c>
      <c r="BL81" s="161" t="str">
        <f t="shared" si="155"/>
        <v/>
      </c>
      <c r="BM81" s="161" t="str">
        <f t="shared" si="156"/>
        <v/>
      </c>
      <c r="BN81" s="161" t="str">
        <f t="shared" si="157"/>
        <v/>
      </c>
      <c r="BO81" s="161" t="str">
        <f t="shared" si="158"/>
        <v/>
      </c>
    </row>
    <row r="82" spans="23:67" ht="16.5" hidden="1" customHeight="1" x14ac:dyDescent="0.2">
      <c r="W82" s="111"/>
      <c r="X82" s="111"/>
      <c r="Y82" s="111"/>
      <c r="Z82" s="111"/>
      <c r="AU82" s="161">
        <f>VLOOKUP(I46,AC9:AN61,12,FALSE)+VLOOKUP(F46,AC9:AN61,12,FALSE)</f>
        <v>0</v>
      </c>
      <c r="AV82" s="161" t="str">
        <f t="shared" si="171"/>
        <v>Austria Wien</v>
      </c>
      <c r="AW82" s="161">
        <f t="shared" si="172"/>
        <v>0</v>
      </c>
      <c r="AX82" s="161" t="str">
        <f t="shared" si="173"/>
        <v>Austria Wien</v>
      </c>
      <c r="AY82" s="161">
        <f t="shared" si="174"/>
        <v>1</v>
      </c>
      <c r="AZ82" s="161" t="str">
        <f t="shared" si="175"/>
        <v>Porto</v>
      </c>
      <c r="BA82" s="161">
        <f t="shared" si="176"/>
        <v>1</v>
      </c>
      <c r="BB82" s="161" t="str">
        <f t="shared" si="177"/>
        <v>Porto</v>
      </c>
      <c r="BC82" s="161">
        <f t="shared" si="178"/>
        <v>0</v>
      </c>
      <c r="BD82" s="161" t="str">
        <f t="shared" si="179"/>
        <v>Austria Wien_lose</v>
      </c>
      <c r="BE82" s="161" t="str">
        <f t="shared" si="180"/>
        <v>Porto_win</v>
      </c>
      <c r="BF82" s="161" t="str">
        <f t="shared" si="181"/>
        <v/>
      </c>
      <c r="BG82" s="161" t="str">
        <f t="shared" si="182"/>
        <v/>
      </c>
      <c r="BH82" s="161" t="str">
        <f t="shared" si="151"/>
        <v/>
      </c>
      <c r="BI82" s="161" t="str">
        <f t="shared" si="152"/>
        <v/>
      </c>
      <c r="BJ82" s="161" t="str">
        <f t="shared" si="153"/>
        <v/>
      </c>
      <c r="BK82" s="161" t="str">
        <f t="shared" si="154"/>
        <v/>
      </c>
      <c r="BL82" s="161" t="str">
        <f t="shared" si="155"/>
        <v/>
      </c>
      <c r="BM82" s="161" t="str">
        <f t="shared" si="156"/>
        <v/>
      </c>
      <c r="BN82" s="161" t="str">
        <f t="shared" si="157"/>
        <v/>
      </c>
      <c r="BO82" s="161" t="str">
        <f t="shared" si="158"/>
        <v/>
      </c>
    </row>
    <row r="83" spans="23:67" ht="16.5" hidden="1" customHeight="1" x14ac:dyDescent="0.2">
      <c r="W83" s="111"/>
      <c r="X83" s="111"/>
      <c r="Y83" s="111"/>
      <c r="Z83" s="111"/>
      <c r="AU83" s="161">
        <f>VLOOKUP(I47,AC9:AN61,12,FALSE)+VLOOKUP(F47,AC9:AN61,12,FALSE)</f>
        <v>0</v>
      </c>
      <c r="AV83" s="161" t="str">
        <f t="shared" si="171"/>
        <v>Porto</v>
      </c>
      <c r="AW83" s="161">
        <f t="shared" si="172"/>
        <v>1</v>
      </c>
      <c r="AX83" s="161" t="str">
        <f t="shared" si="173"/>
        <v>Porto</v>
      </c>
      <c r="AY83" s="161">
        <f t="shared" si="174"/>
        <v>2</v>
      </c>
      <c r="AZ83" s="161" t="str">
        <f t="shared" si="175"/>
        <v>Atlético de Madrid</v>
      </c>
      <c r="BA83" s="161">
        <f t="shared" si="176"/>
        <v>2</v>
      </c>
      <c r="BB83" s="161" t="str">
        <f t="shared" si="177"/>
        <v>Atlético de Madrid</v>
      </c>
      <c r="BC83" s="161">
        <f t="shared" si="178"/>
        <v>1</v>
      </c>
      <c r="BD83" s="161" t="str">
        <f t="shared" si="179"/>
        <v>Porto_lose</v>
      </c>
      <c r="BE83" s="161" t="str">
        <f t="shared" si="180"/>
        <v>Atlético de Madrid_win</v>
      </c>
      <c r="BF83" s="161" t="str">
        <f t="shared" si="181"/>
        <v/>
      </c>
      <c r="BG83" s="161" t="str">
        <f t="shared" si="182"/>
        <v/>
      </c>
      <c r="BH83" s="161" t="str">
        <f t="shared" si="151"/>
        <v/>
      </c>
      <c r="BI83" s="161" t="str">
        <f t="shared" si="152"/>
        <v/>
      </c>
      <c r="BJ83" s="161" t="str">
        <f t="shared" si="153"/>
        <v/>
      </c>
      <c r="BK83" s="161" t="str">
        <f t="shared" si="154"/>
        <v/>
      </c>
      <c r="BL83" s="161" t="str">
        <f t="shared" si="155"/>
        <v/>
      </c>
      <c r="BM83" s="161" t="str">
        <f t="shared" si="156"/>
        <v/>
      </c>
      <c r="BN83" s="161" t="str">
        <f t="shared" si="157"/>
        <v/>
      </c>
      <c r="BO83" s="161" t="str">
        <f t="shared" si="158"/>
        <v/>
      </c>
    </row>
    <row r="84" spans="23:67" ht="16.5" hidden="1" customHeight="1" x14ac:dyDescent="0.2">
      <c r="W84" s="111"/>
      <c r="X84" s="111"/>
      <c r="Y84" s="111"/>
      <c r="Z84" s="111"/>
      <c r="AU84" s="161">
        <f>VLOOKUP(I48,AC9:AN61,12,FALSE)+VLOOKUP(F48,AC9:AN61,12,FALSE)</f>
        <v>1</v>
      </c>
      <c r="AV84" s="161" t="str">
        <f t="shared" si="171"/>
        <v>Zenit</v>
      </c>
      <c r="AW84" s="161">
        <f t="shared" si="172"/>
        <v>0</v>
      </c>
      <c r="AX84" s="161" t="str">
        <f t="shared" si="173"/>
        <v>Zenit</v>
      </c>
      <c r="AY84" s="161">
        <f t="shared" si="174"/>
        <v>0</v>
      </c>
      <c r="AZ84" s="161" t="str">
        <f t="shared" si="175"/>
        <v>Austria Wien</v>
      </c>
      <c r="BA84" s="161">
        <f t="shared" si="176"/>
        <v>0</v>
      </c>
      <c r="BB84" s="161" t="str">
        <f t="shared" si="177"/>
        <v>Austria Wien</v>
      </c>
      <c r="BC84" s="161">
        <f t="shared" si="178"/>
        <v>0</v>
      </c>
      <c r="BD84" s="161" t="str">
        <f t="shared" si="179"/>
        <v>Zenit_draw</v>
      </c>
      <c r="BE84" s="161" t="str">
        <f t="shared" si="180"/>
        <v>Austria Wien_draw</v>
      </c>
      <c r="BF84" s="161" t="str">
        <f t="shared" si="181"/>
        <v/>
      </c>
      <c r="BG84" s="161" t="str">
        <f t="shared" si="182"/>
        <v/>
      </c>
      <c r="BH84" s="161" t="str">
        <f t="shared" si="151"/>
        <v/>
      </c>
      <c r="BI84" s="161" t="str">
        <f t="shared" si="152"/>
        <v/>
      </c>
      <c r="BJ84" s="161" t="str">
        <f t="shared" si="153"/>
        <v/>
      </c>
      <c r="BK84" s="161" t="str">
        <f t="shared" si="154"/>
        <v/>
      </c>
      <c r="BL84" s="161" t="str">
        <f t="shared" si="155"/>
        <v/>
      </c>
      <c r="BM84" s="161" t="str">
        <f t="shared" si="156"/>
        <v/>
      </c>
      <c r="BN84" s="161" t="str">
        <f t="shared" si="157"/>
        <v/>
      </c>
      <c r="BO84" s="161" t="str">
        <f t="shared" si="158"/>
        <v/>
      </c>
    </row>
    <row r="85" spans="23:67" ht="16.5" hidden="1" customHeight="1" x14ac:dyDescent="0.2">
      <c r="W85" s="111"/>
      <c r="X85" s="111"/>
      <c r="Y85" s="111"/>
      <c r="Z85" s="111"/>
      <c r="AU85" s="161">
        <f>VLOOKUP(I49,AC9:AN61,12,FALSE)+VLOOKUP(F49,AC9:AN61,12,FALSE)</f>
        <v>1</v>
      </c>
      <c r="AV85" s="161" t="str">
        <f t="shared" si="171"/>
        <v>Porto</v>
      </c>
      <c r="AW85" s="161">
        <f t="shared" si="172"/>
        <v>0</v>
      </c>
      <c r="AX85" s="161" t="str">
        <f t="shared" si="173"/>
        <v>Porto</v>
      </c>
      <c r="AY85" s="161">
        <f t="shared" si="174"/>
        <v>1</v>
      </c>
      <c r="AZ85" s="161" t="str">
        <f t="shared" si="175"/>
        <v>Zenit</v>
      </c>
      <c r="BA85" s="161">
        <f t="shared" si="176"/>
        <v>1</v>
      </c>
      <c r="BB85" s="161" t="str">
        <f t="shared" si="177"/>
        <v>Zenit</v>
      </c>
      <c r="BC85" s="161">
        <f t="shared" si="178"/>
        <v>0</v>
      </c>
      <c r="BD85" s="161" t="str">
        <f t="shared" si="179"/>
        <v>Porto_lose</v>
      </c>
      <c r="BE85" s="161" t="str">
        <f t="shared" si="180"/>
        <v>Zenit_win</v>
      </c>
      <c r="BF85" s="161" t="str">
        <f t="shared" si="181"/>
        <v/>
      </c>
      <c r="BG85" s="161" t="str">
        <f t="shared" si="182"/>
        <v/>
      </c>
      <c r="BH85" s="161" t="str">
        <f t="shared" si="151"/>
        <v/>
      </c>
      <c r="BI85" s="161" t="str">
        <f t="shared" si="152"/>
        <v/>
      </c>
      <c r="BJ85" s="161" t="str">
        <f t="shared" si="153"/>
        <v/>
      </c>
      <c r="BK85" s="161" t="str">
        <f t="shared" si="154"/>
        <v/>
      </c>
      <c r="BL85" s="161" t="str">
        <f t="shared" si="155"/>
        <v/>
      </c>
      <c r="BM85" s="161" t="str">
        <f t="shared" si="156"/>
        <v/>
      </c>
      <c r="BN85" s="161" t="str">
        <f t="shared" si="157"/>
        <v/>
      </c>
      <c r="BO85" s="161" t="str">
        <f t="shared" si="158"/>
        <v/>
      </c>
    </row>
    <row r="86" spans="23:67" ht="16.5" hidden="1" customHeight="1" x14ac:dyDescent="0.2">
      <c r="W86" s="111"/>
      <c r="X86" s="111"/>
      <c r="Y86" s="111"/>
      <c r="Z86" s="111"/>
      <c r="AU86" s="161">
        <f>VLOOKUP(I50,AC9:AN61,12,FALSE)+VLOOKUP(F50,AC9:AN61,12,FALSE)</f>
        <v>0</v>
      </c>
      <c r="AV86" s="161" t="str">
        <f t="shared" si="171"/>
        <v>Austria Wien</v>
      </c>
      <c r="AW86" s="161">
        <f t="shared" si="172"/>
        <v>0</v>
      </c>
      <c r="AX86" s="161" t="str">
        <f t="shared" si="173"/>
        <v>Austria Wien</v>
      </c>
      <c r="AY86" s="161">
        <f t="shared" si="174"/>
        <v>3</v>
      </c>
      <c r="AZ86" s="161" t="str">
        <f t="shared" si="175"/>
        <v>Atlético de Madrid</v>
      </c>
      <c r="BA86" s="161">
        <f t="shared" si="176"/>
        <v>3</v>
      </c>
      <c r="BB86" s="161" t="str">
        <f t="shared" si="177"/>
        <v>Atlético de Madrid</v>
      </c>
      <c r="BC86" s="161">
        <f t="shared" si="178"/>
        <v>0</v>
      </c>
      <c r="BD86" s="161" t="str">
        <f t="shared" si="179"/>
        <v>Austria Wien_lose</v>
      </c>
      <c r="BE86" s="161" t="str">
        <f t="shared" si="180"/>
        <v>Atlético de Madrid_win</v>
      </c>
      <c r="BF86" s="161" t="str">
        <f t="shared" si="181"/>
        <v/>
      </c>
      <c r="BG86" s="161" t="str">
        <f t="shared" si="182"/>
        <v/>
      </c>
      <c r="BH86" s="161" t="str">
        <f t="shared" si="151"/>
        <v/>
      </c>
      <c r="BI86" s="161" t="str">
        <f t="shared" si="152"/>
        <v/>
      </c>
      <c r="BJ86" s="161" t="str">
        <f t="shared" si="153"/>
        <v/>
      </c>
      <c r="BK86" s="161" t="str">
        <f t="shared" si="154"/>
        <v/>
      </c>
      <c r="BL86" s="161" t="str">
        <f t="shared" si="155"/>
        <v/>
      </c>
      <c r="BM86" s="161" t="str">
        <f t="shared" si="156"/>
        <v/>
      </c>
      <c r="BN86" s="161" t="str">
        <f t="shared" si="157"/>
        <v/>
      </c>
      <c r="BO86" s="161" t="str">
        <f t="shared" si="158"/>
        <v/>
      </c>
    </row>
    <row r="87" spans="23:67" ht="16.5" hidden="1" customHeight="1" x14ac:dyDescent="0.2">
      <c r="W87" s="111"/>
      <c r="X87" s="111"/>
      <c r="Y87" s="111"/>
      <c r="Z87" s="111"/>
      <c r="AU87" s="161">
        <f>VLOOKUP(I51,AC9:AN61,12,FALSE)+VLOOKUP(F51,AC9:AN61,12,FALSE)</f>
        <v>1</v>
      </c>
      <c r="AV87" s="161" t="str">
        <f t="shared" si="171"/>
        <v>Zenit</v>
      </c>
      <c r="AW87" s="161">
        <f t="shared" si="172"/>
        <v>1</v>
      </c>
      <c r="AX87" s="161" t="str">
        <f t="shared" si="173"/>
        <v>Zenit</v>
      </c>
      <c r="AY87" s="161">
        <f t="shared" si="174"/>
        <v>1</v>
      </c>
      <c r="AZ87" s="161" t="str">
        <f t="shared" si="175"/>
        <v>Porto</v>
      </c>
      <c r="BA87" s="161">
        <f t="shared" si="176"/>
        <v>1</v>
      </c>
      <c r="BB87" s="161" t="str">
        <f t="shared" si="177"/>
        <v>Porto</v>
      </c>
      <c r="BC87" s="161">
        <f t="shared" si="178"/>
        <v>1</v>
      </c>
      <c r="BD87" s="161" t="str">
        <f t="shared" si="179"/>
        <v>Zenit_draw</v>
      </c>
      <c r="BE87" s="161" t="str">
        <f t="shared" si="180"/>
        <v>Porto_draw</v>
      </c>
      <c r="BF87" s="161" t="str">
        <f t="shared" si="181"/>
        <v/>
      </c>
      <c r="BG87" s="161" t="str">
        <f t="shared" si="182"/>
        <v/>
      </c>
      <c r="BH87" s="161" t="str">
        <f t="shared" si="151"/>
        <v/>
      </c>
      <c r="BI87" s="161" t="str">
        <f t="shared" si="152"/>
        <v/>
      </c>
      <c r="BJ87" s="161" t="str">
        <f t="shared" si="153"/>
        <v/>
      </c>
      <c r="BK87" s="161" t="str">
        <f t="shared" si="154"/>
        <v/>
      </c>
      <c r="BL87" s="161" t="str">
        <f t="shared" si="155"/>
        <v/>
      </c>
      <c r="BM87" s="161" t="str">
        <f t="shared" si="156"/>
        <v/>
      </c>
      <c r="BN87" s="161" t="str">
        <f t="shared" si="157"/>
        <v/>
      </c>
      <c r="BO87" s="161" t="str">
        <f t="shared" si="158"/>
        <v/>
      </c>
    </row>
    <row r="88" spans="23:67" ht="16.5" hidden="1" customHeight="1" x14ac:dyDescent="0.2">
      <c r="W88" s="111"/>
      <c r="X88" s="111"/>
      <c r="Y88" s="111"/>
      <c r="Z88" s="111"/>
      <c r="AU88" s="161">
        <f>VLOOKUP(I52,AC9:AN61,12,FALSE)+VLOOKUP(F52,AC9:AN61,12,FALSE)</f>
        <v>0</v>
      </c>
      <c r="AV88" s="161" t="str">
        <f t="shared" si="171"/>
        <v>Atlético de Madrid</v>
      </c>
      <c r="AW88" s="161">
        <f t="shared" si="172"/>
        <v>4</v>
      </c>
      <c r="AX88" s="161" t="str">
        <f t="shared" si="173"/>
        <v>Atlético de Madrid</v>
      </c>
      <c r="AY88" s="161">
        <f t="shared" si="174"/>
        <v>0</v>
      </c>
      <c r="AZ88" s="161" t="str">
        <f t="shared" si="175"/>
        <v>Austria Wien</v>
      </c>
      <c r="BA88" s="161">
        <f t="shared" si="176"/>
        <v>0</v>
      </c>
      <c r="BB88" s="161" t="str">
        <f t="shared" si="177"/>
        <v>Austria Wien</v>
      </c>
      <c r="BC88" s="161">
        <f t="shared" si="178"/>
        <v>4</v>
      </c>
      <c r="BD88" s="161" t="str">
        <f t="shared" si="179"/>
        <v>Atlético de Madrid_win</v>
      </c>
      <c r="BE88" s="161" t="str">
        <f t="shared" si="180"/>
        <v>Austria Wien_lose</v>
      </c>
      <c r="BF88" s="161" t="str">
        <f t="shared" si="181"/>
        <v/>
      </c>
      <c r="BG88" s="161" t="str">
        <f t="shared" si="182"/>
        <v/>
      </c>
      <c r="BH88" s="161" t="str">
        <f t="shared" si="151"/>
        <v/>
      </c>
      <c r="BI88" s="161" t="str">
        <f t="shared" si="152"/>
        <v/>
      </c>
      <c r="BJ88" s="161" t="str">
        <f t="shared" si="153"/>
        <v/>
      </c>
      <c r="BK88" s="161" t="str">
        <f t="shared" si="154"/>
        <v/>
      </c>
      <c r="BL88" s="161" t="str">
        <f t="shared" si="155"/>
        <v/>
      </c>
      <c r="BM88" s="161" t="str">
        <f t="shared" si="156"/>
        <v/>
      </c>
      <c r="BN88" s="161" t="str">
        <f t="shared" si="157"/>
        <v/>
      </c>
      <c r="BO88" s="161" t="str">
        <f t="shared" si="158"/>
        <v/>
      </c>
    </row>
    <row r="89" spans="23:67" ht="16.5" hidden="1" customHeight="1" x14ac:dyDescent="0.2">
      <c r="W89" s="111"/>
      <c r="X89" s="111"/>
      <c r="Y89" s="111"/>
      <c r="Z89" s="111"/>
      <c r="AU89" s="161">
        <f>VLOOKUP(I53,AC9:AN61,12,FALSE)+VLOOKUP(F53,AC9:AN61,12,FALSE)</f>
        <v>1</v>
      </c>
      <c r="AV89" s="161" t="str">
        <f t="shared" si="171"/>
        <v>Zenit</v>
      </c>
      <c r="AW89" s="161">
        <f t="shared" si="172"/>
        <v>0</v>
      </c>
      <c r="AX89" s="161" t="str">
        <f t="shared" si="173"/>
        <v>Zenit</v>
      </c>
      <c r="AY89" s="161">
        <f t="shared" si="174"/>
        <v>0</v>
      </c>
      <c r="AZ89" s="161" t="str">
        <f t="shared" si="175"/>
        <v>Atlético de Madrid</v>
      </c>
      <c r="BA89" s="161">
        <f t="shared" si="176"/>
        <v>0</v>
      </c>
      <c r="BB89" s="161" t="str">
        <f t="shared" si="177"/>
        <v>Atlético de Madrid</v>
      </c>
      <c r="BC89" s="161">
        <f t="shared" si="178"/>
        <v>0</v>
      </c>
      <c r="BD89" s="161" t="str">
        <f t="shared" si="179"/>
        <v/>
      </c>
      <c r="BE89" s="161" t="str">
        <f t="shared" si="180"/>
        <v/>
      </c>
      <c r="BF89" s="161" t="str">
        <f t="shared" si="181"/>
        <v/>
      </c>
      <c r="BG89" s="161" t="str">
        <f t="shared" si="182"/>
        <v/>
      </c>
      <c r="BH89" s="161" t="str">
        <f t="shared" si="151"/>
        <v/>
      </c>
      <c r="BI89" s="161" t="str">
        <f t="shared" si="152"/>
        <v/>
      </c>
      <c r="BJ89" s="161" t="str">
        <f t="shared" si="153"/>
        <v/>
      </c>
      <c r="BK89" s="161" t="str">
        <f t="shared" si="154"/>
        <v/>
      </c>
      <c r="BL89" s="161" t="str">
        <f t="shared" si="155"/>
        <v/>
      </c>
      <c r="BM89" s="161" t="str">
        <f t="shared" si="156"/>
        <v/>
      </c>
      <c r="BN89" s="161" t="str">
        <f t="shared" si="157"/>
        <v/>
      </c>
      <c r="BO89" s="161" t="str">
        <f t="shared" si="158"/>
        <v/>
      </c>
    </row>
    <row r="90" spans="23:67" ht="16.5" hidden="1" customHeight="1" x14ac:dyDescent="0.2">
      <c r="W90" s="111"/>
      <c r="X90" s="111"/>
      <c r="Y90" s="111"/>
      <c r="Z90" s="111"/>
      <c r="AU90" s="161">
        <f>VLOOKUP(I54,AC9:AN61,12,FALSE)+VLOOKUP(F54,AC9:AN61,12,FALSE)</f>
        <v>0</v>
      </c>
      <c r="AV90" s="161" t="str">
        <f t="shared" si="171"/>
        <v>Porto</v>
      </c>
      <c r="AW90" s="161">
        <f t="shared" si="172"/>
        <v>0</v>
      </c>
      <c r="AX90" s="161" t="str">
        <f t="shared" si="173"/>
        <v>Porto</v>
      </c>
      <c r="AY90" s="161">
        <f t="shared" si="174"/>
        <v>0</v>
      </c>
      <c r="AZ90" s="161" t="str">
        <f t="shared" si="175"/>
        <v>Austria Wien</v>
      </c>
      <c r="BA90" s="161">
        <f t="shared" si="176"/>
        <v>0</v>
      </c>
      <c r="BB90" s="161" t="str">
        <f t="shared" si="177"/>
        <v>Austria Wien</v>
      </c>
      <c r="BC90" s="161">
        <f t="shared" si="178"/>
        <v>0</v>
      </c>
      <c r="BD90" s="161" t="str">
        <f t="shared" si="179"/>
        <v/>
      </c>
      <c r="BE90" s="161" t="str">
        <f t="shared" si="180"/>
        <v/>
      </c>
      <c r="BF90" s="161" t="str">
        <f t="shared" si="181"/>
        <v/>
      </c>
      <c r="BG90" s="161" t="str">
        <f t="shared" si="182"/>
        <v/>
      </c>
      <c r="BH90" s="161" t="str">
        <f t="shared" si="151"/>
        <v/>
      </c>
      <c r="BI90" s="161" t="str">
        <f t="shared" si="152"/>
        <v/>
      </c>
      <c r="BJ90" s="161" t="str">
        <f t="shared" si="153"/>
        <v/>
      </c>
      <c r="BK90" s="161" t="str">
        <f t="shared" si="154"/>
        <v/>
      </c>
      <c r="BL90" s="161" t="str">
        <f t="shared" si="155"/>
        <v/>
      </c>
      <c r="BM90" s="161" t="str">
        <f t="shared" si="156"/>
        <v/>
      </c>
      <c r="BN90" s="161" t="str">
        <f t="shared" si="157"/>
        <v/>
      </c>
      <c r="BO90" s="161" t="str">
        <f t="shared" si="158"/>
        <v/>
      </c>
    </row>
    <row r="91" spans="23:67" ht="16.5" hidden="1" customHeight="1" x14ac:dyDescent="0.2">
      <c r="W91" s="111"/>
      <c r="X91" s="111"/>
      <c r="Y91" s="111"/>
      <c r="Z91" s="111"/>
      <c r="AU91" s="161">
        <f>VLOOKUP(I55,AC9:AN61,12,FALSE)+VLOOKUP(F55,AC9:AN61,12,FALSE)</f>
        <v>0</v>
      </c>
      <c r="AV91" s="161" t="str">
        <f t="shared" si="171"/>
        <v>Atlético de Madrid</v>
      </c>
      <c r="AW91" s="161">
        <f t="shared" si="172"/>
        <v>0</v>
      </c>
      <c r="AX91" s="161" t="str">
        <f t="shared" si="173"/>
        <v>Atlético de Madrid</v>
      </c>
      <c r="AY91" s="161">
        <f t="shared" si="174"/>
        <v>0</v>
      </c>
      <c r="AZ91" s="161" t="str">
        <f t="shared" si="175"/>
        <v>Porto</v>
      </c>
      <c r="BA91" s="161">
        <f t="shared" si="176"/>
        <v>0</v>
      </c>
      <c r="BB91" s="161" t="str">
        <f t="shared" si="177"/>
        <v>Porto</v>
      </c>
      <c r="BC91" s="161">
        <f t="shared" si="178"/>
        <v>0</v>
      </c>
      <c r="BD91" s="161" t="str">
        <f t="shared" si="179"/>
        <v/>
      </c>
      <c r="BE91" s="161" t="str">
        <f t="shared" si="180"/>
        <v/>
      </c>
      <c r="BF91" s="161" t="str">
        <f t="shared" si="181"/>
        <v/>
      </c>
      <c r="BG91" s="161" t="str">
        <f t="shared" si="182"/>
        <v/>
      </c>
      <c r="BH91" s="161" t="str">
        <f t="shared" si="151"/>
        <v/>
      </c>
      <c r="BI91" s="161" t="str">
        <f t="shared" si="152"/>
        <v/>
      </c>
      <c r="BJ91" s="161" t="str">
        <f t="shared" si="153"/>
        <v/>
      </c>
      <c r="BK91" s="161" t="str">
        <f t="shared" si="154"/>
        <v/>
      </c>
      <c r="BL91" s="161" t="str">
        <f t="shared" si="155"/>
        <v/>
      </c>
      <c r="BM91" s="161" t="str">
        <f t="shared" si="156"/>
        <v/>
      </c>
      <c r="BN91" s="161" t="str">
        <f t="shared" si="157"/>
        <v/>
      </c>
      <c r="BO91" s="161" t="str">
        <f t="shared" si="158"/>
        <v/>
      </c>
    </row>
    <row r="92" spans="23:67" ht="16.5" hidden="1" customHeight="1" x14ac:dyDescent="0.2">
      <c r="W92" s="111"/>
      <c r="X92" s="111"/>
      <c r="Y92" s="111"/>
      <c r="Z92" s="111"/>
      <c r="AU92" s="161">
        <f>VLOOKUP(I56,AC9:AN61,12,FALSE)+VLOOKUP(F56,AC9:AN61,12,FALSE)</f>
        <v>1</v>
      </c>
      <c r="AV92" s="161" t="str">
        <f t="shared" si="171"/>
        <v>Austria Wien</v>
      </c>
      <c r="AW92" s="161">
        <f t="shared" si="172"/>
        <v>0</v>
      </c>
      <c r="AX92" s="161" t="str">
        <f t="shared" si="173"/>
        <v>Austria Wien</v>
      </c>
      <c r="AY92" s="161">
        <f t="shared" si="174"/>
        <v>0</v>
      </c>
      <c r="AZ92" s="161" t="str">
        <f t="shared" si="175"/>
        <v>Zenit</v>
      </c>
      <c r="BA92" s="161">
        <f t="shared" si="176"/>
        <v>0</v>
      </c>
      <c r="BB92" s="161" t="str">
        <f t="shared" si="177"/>
        <v>Zenit</v>
      </c>
      <c r="BC92" s="161">
        <f t="shared" si="178"/>
        <v>0</v>
      </c>
      <c r="BD92" s="161" t="str">
        <f t="shared" si="179"/>
        <v/>
      </c>
      <c r="BE92" s="161" t="str">
        <f t="shared" si="180"/>
        <v/>
      </c>
      <c r="BF92" s="161" t="str">
        <f t="shared" si="181"/>
        <v/>
      </c>
      <c r="BG92" s="161" t="str">
        <f t="shared" si="182"/>
        <v/>
      </c>
      <c r="BH92" s="161" t="str">
        <f t="shared" si="151"/>
        <v/>
      </c>
      <c r="BI92" s="161" t="str">
        <f t="shared" si="152"/>
        <v/>
      </c>
      <c r="BJ92" s="161" t="str">
        <f t="shared" si="153"/>
        <v/>
      </c>
      <c r="BK92" s="161" t="str">
        <f t="shared" si="154"/>
        <v/>
      </c>
      <c r="BL92" s="161" t="str">
        <f t="shared" si="155"/>
        <v/>
      </c>
      <c r="BM92" s="161" t="str">
        <f t="shared" si="156"/>
        <v/>
      </c>
      <c r="BN92" s="161" t="str">
        <f t="shared" si="157"/>
        <v/>
      </c>
      <c r="BO92" s="161" t="str">
        <f t="shared" si="158"/>
        <v/>
      </c>
    </row>
    <row r="93" spans="23:67" ht="16.5" hidden="1" customHeight="1" x14ac:dyDescent="0.2">
      <c r="W93" s="111"/>
      <c r="X93" s="111"/>
      <c r="Y93" s="111"/>
      <c r="Z93" s="111"/>
      <c r="AU93" s="161">
        <f>VLOOKUP(Y45,AC9:AN61,12,FALSE)+VLOOKUP(V45,AC9:AN61,12,FALSE)</f>
        <v>1</v>
      </c>
      <c r="AV93" s="161" t="str">
        <f t="shared" ref="AV93:AV104" si="183">V45</f>
        <v>Barcelona</v>
      </c>
      <c r="AW93" s="161">
        <f t="shared" ref="AW93:AW104" si="184">W45</f>
        <v>4</v>
      </c>
      <c r="AX93" s="161" t="str">
        <f t="shared" ref="AX93:AX104" si="185">V45</f>
        <v>Barcelona</v>
      </c>
      <c r="AY93" s="161">
        <f t="shared" ref="AY93:AY104" si="186">X45</f>
        <v>0</v>
      </c>
      <c r="AZ93" s="161" t="str">
        <f t="shared" ref="AZ93:AZ104" si="187">Y45</f>
        <v>Ajax</v>
      </c>
      <c r="BA93" s="161">
        <f t="shared" ref="BA93:BA104" si="188">X45</f>
        <v>0</v>
      </c>
      <c r="BB93" s="161" t="str">
        <f t="shared" ref="BB93:BB104" si="189">Y45</f>
        <v>Ajax</v>
      </c>
      <c r="BC93" s="161">
        <f t="shared" ref="BC93:BC104" si="190">W45</f>
        <v>4</v>
      </c>
      <c r="BD93" s="161" t="str">
        <f t="shared" ref="BD93:BD104" si="191">IF(W45="","",IF(X45="","",IF(W45&gt;X45,CONCATENATE(V45,"_win"),IF(W45&lt;X45,CONCATENATE(V45,"_lose"),CONCATENATE(V45,"_draw")))))</f>
        <v>Barcelona_win</v>
      </c>
      <c r="BE93" s="161" t="str">
        <f t="shared" ref="BE93:BE104" si="192">IF(W45="","",IF(X45="","",IF(W45&gt;X45,CONCATENATE(Y45,"_lose"),IF(W45&lt;X45,CONCATENATE(Y45,"_win"),CONCATENATE(Y45,"_draw")))))</f>
        <v>Ajax_lose</v>
      </c>
      <c r="BF93" s="161" t="str">
        <f t="shared" ref="BF93:BF104" si="193">IF(AU93=2,IF(W45="","",IF(X45="","",IF(W45&gt;X45,CONCATENATE(V45,"_win"),IF(W45&lt;X45,CONCATENATE(V45,"_lose"),CONCATENATE(V45,"_draw"))))),"")</f>
        <v/>
      </c>
      <c r="BG93" s="161" t="str">
        <f t="shared" ref="BG93:BG104" si="194">IF(AU93=2,IF(W45="","",IF(X45="","",IF(W45&gt;X45,CONCATENATE(Y45,"_lose"),IF(W45&lt;X45,CONCATENATE(Y45,"_win"),CONCATENATE(Y45,"_draw"))))),"")</f>
        <v/>
      </c>
      <c r="BH93" s="161" t="str">
        <f t="shared" si="151"/>
        <v/>
      </c>
      <c r="BI93" s="161" t="str">
        <f t="shared" si="152"/>
        <v/>
      </c>
      <c r="BJ93" s="161" t="str">
        <f t="shared" si="153"/>
        <v/>
      </c>
      <c r="BK93" s="161" t="str">
        <f t="shared" si="154"/>
        <v/>
      </c>
      <c r="BL93" s="161" t="str">
        <f t="shared" si="155"/>
        <v/>
      </c>
      <c r="BM93" s="161" t="str">
        <f t="shared" si="156"/>
        <v/>
      </c>
      <c r="BN93" s="161" t="str">
        <f t="shared" si="157"/>
        <v/>
      </c>
      <c r="BO93" s="161" t="str">
        <f t="shared" si="158"/>
        <v/>
      </c>
    </row>
    <row r="94" spans="23:67" ht="16.5" hidden="1" customHeight="1" x14ac:dyDescent="0.2">
      <c r="W94" s="111"/>
      <c r="X94" s="111"/>
      <c r="Y94" s="111"/>
      <c r="Z94" s="111"/>
      <c r="AU94" s="161">
        <f>VLOOKUP(Y46,AC9:AN61,12,FALSE)+VLOOKUP(V46,AC9:AN61,12,FALSE)</f>
        <v>0</v>
      </c>
      <c r="AV94" s="161" t="str">
        <f t="shared" si="183"/>
        <v>Milan</v>
      </c>
      <c r="AW94" s="161">
        <f t="shared" si="184"/>
        <v>2</v>
      </c>
      <c r="AX94" s="161" t="str">
        <f t="shared" si="185"/>
        <v>Milan</v>
      </c>
      <c r="AY94" s="161">
        <f t="shared" si="186"/>
        <v>0</v>
      </c>
      <c r="AZ94" s="161" t="str">
        <f t="shared" si="187"/>
        <v>Celtic</v>
      </c>
      <c r="BA94" s="161">
        <f t="shared" si="188"/>
        <v>0</v>
      </c>
      <c r="BB94" s="161" t="str">
        <f t="shared" si="189"/>
        <v>Celtic</v>
      </c>
      <c r="BC94" s="161">
        <f t="shared" si="190"/>
        <v>2</v>
      </c>
      <c r="BD94" s="161" t="str">
        <f t="shared" si="191"/>
        <v>Milan_win</v>
      </c>
      <c r="BE94" s="161" t="str">
        <f t="shared" si="192"/>
        <v>Celtic_lose</v>
      </c>
      <c r="BF94" s="161" t="str">
        <f t="shared" si="193"/>
        <v/>
      </c>
      <c r="BG94" s="161" t="str">
        <f t="shared" si="194"/>
        <v/>
      </c>
      <c r="BH94" s="161" t="str">
        <f t="shared" si="151"/>
        <v/>
      </c>
      <c r="BI94" s="161" t="str">
        <f t="shared" si="152"/>
        <v/>
      </c>
      <c r="BJ94" s="161" t="str">
        <f t="shared" si="153"/>
        <v/>
      </c>
      <c r="BK94" s="161" t="str">
        <f t="shared" si="154"/>
        <v/>
      </c>
      <c r="BL94" s="161" t="str">
        <f t="shared" si="155"/>
        <v/>
      </c>
      <c r="BM94" s="161" t="str">
        <f t="shared" si="156"/>
        <v/>
      </c>
      <c r="BN94" s="161" t="str">
        <f t="shared" si="157"/>
        <v/>
      </c>
      <c r="BO94" s="161" t="str">
        <f t="shared" si="158"/>
        <v/>
      </c>
    </row>
    <row r="95" spans="23:67" ht="16.5" hidden="1" customHeight="1" x14ac:dyDescent="0.2">
      <c r="W95" s="111"/>
      <c r="X95" s="111"/>
      <c r="Y95" s="111"/>
      <c r="Z95" s="111"/>
      <c r="AU95" s="161">
        <f>VLOOKUP(Y47,AC9:AN61,12,FALSE)+VLOOKUP(V47,AC9:AN61,12,FALSE)</f>
        <v>0</v>
      </c>
      <c r="AV95" s="161" t="str">
        <f t="shared" si="183"/>
        <v>Celtic</v>
      </c>
      <c r="AW95" s="161">
        <f t="shared" si="184"/>
        <v>0</v>
      </c>
      <c r="AX95" s="161" t="str">
        <f t="shared" si="185"/>
        <v>Celtic</v>
      </c>
      <c r="AY95" s="161">
        <f t="shared" si="186"/>
        <v>1</v>
      </c>
      <c r="AZ95" s="161" t="str">
        <f t="shared" si="187"/>
        <v>Barcelona</v>
      </c>
      <c r="BA95" s="161">
        <f t="shared" si="188"/>
        <v>1</v>
      </c>
      <c r="BB95" s="161" t="str">
        <f t="shared" si="189"/>
        <v>Barcelona</v>
      </c>
      <c r="BC95" s="161">
        <f t="shared" si="190"/>
        <v>0</v>
      </c>
      <c r="BD95" s="161" t="str">
        <f t="shared" si="191"/>
        <v>Celtic_lose</v>
      </c>
      <c r="BE95" s="161" t="str">
        <f t="shared" si="192"/>
        <v>Barcelona_win</v>
      </c>
      <c r="BF95" s="161" t="str">
        <f t="shared" si="193"/>
        <v/>
      </c>
      <c r="BG95" s="161" t="str">
        <f t="shared" si="194"/>
        <v/>
      </c>
      <c r="BH95" s="161" t="str">
        <f t="shared" si="151"/>
        <v/>
      </c>
      <c r="BI95" s="161" t="str">
        <f t="shared" si="152"/>
        <v/>
      </c>
      <c r="BJ95" s="161" t="str">
        <f t="shared" si="153"/>
        <v/>
      </c>
      <c r="BK95" s="161" t="str">
        <f t="shared" si="154"/>
        <v/>
      </c>
      <c r="BL95" s="161" t="str">
        <f t="shared" si="155"/>
        <v/>
      </c>
      <c r="BM95" s="161" t="str">
        <f t="shared" si="156"/>
        <v/>
      </c>
      <c r="BN95" s="161" t="str">
        <f t="shared" si="157"/>
        <v/>
      </c>
      <c r="BO95" s="161" t="str">
        <f t="shared" si="158"/>
        <v/>
      </c>
    </row>
    <row r="96" spans="23:67" ht="16.5" hidden="1" customHeight="1" x14ac:dyDescent="0.2">
      <c r="W96" s="111"/>
      <c r="X96" s="111"/>
      <c r="Y96" s="111"/>
      <c r="Z96" s="111"/>
      <c r="AU96" s="161">
        <f>VLOOKUP(Y48,AC9:AN61,12,FALSE)+VLOOKUP(V48,AC9:AN61,12,FALSE)</f>
        <v>1</v>
      </c>
      <c r="AV96" s="161" t="str">
        <f t="shared" si="183"/>
        <v>Ajax</v>
      </c>
      <c r="AW96" s="161">
        <f t="shared" si="184"/>
        <v>1</v>
      </c>
      <c r="AX96" s="161" t="str">
        <f t="shared" si="185"/>
        <v>Ajax</v>
      </c>
      <c r="AY96" s="161">
        <f t="shared" si="186"/>
        <v>1</v>
      </c>
      <c r="AZ96" s="161" t="str">
        <f t="shared" si="187"/>
        <v>Milan</v>
      </c>
      <c r="BA96" s="161">
        <f t="shared" si="188"/>
        <v>1</v>
      </c>
      <c r="BB96" s="161" t="str">
        <f t="shared" si="189"/>
        <v>Milan</v>
      </c>
      <c r="BC96" s="161">
        <f t="shared" si="190"/>
        <v>1</v>
      </c>
      <c r="BD96" s="161" t="str">
        <f t="shared" si="191"/>
        <v>Ajax_draw</v>
      </c>
      <c r="BE96" s="161" t="str">
        <f t="shared" si="192"/>
        <v>Milan_draw</v>
      </c>
      <c r="BF96" s="161" t="str">
        <f t="shared" si="193"/>
        <v/>
      </c>
      <c r="BG96" s="161" t="str">
        <f t="shared" si="194"/>
        <v/>
      </c>
      <c r="BH96" s="161" t="str">
        <f t="shared" si="151"/>
        <v/>
      </c>
      <c r="BI96" s="161" t="str">
        <f t="shared" si="152"/>
        <v/>
      </c>
      <c r="BJ96" s="161" t="str">
        <f t="shared" si="153"/>
        <v/>
      </c>
      <c r="BK96" s="161" t="str">
        <f t="shared" si="154"/>
        <v/>
      </c>
      <c r="BL96" s="161" t="str">
        <f t="shared" si="155"/>
        <v/>
      </c>
      <c r="BM96" s="161" t="str">
        <f t="shared" si="156"/>
        <v/>
      </c>
      <c r="BN96" s="161" t="str">
        <f t="shared" si="157"/>
        <v/>
      </c>
      <c r="BO96" s="161" t="str">
        <f t="shared" si="158"/>
        <v/>
      </c>
    </row>
    <row r="97" spans="23:67" ht="16.5" hidden="1" customHeight="1" x14ac:dyDescent="0.2">
      <c r="W97" s="111"/>
      <c r="X97" s="111"/>
      <c r="Y97" s="111"/>
      <c r="Z97" s="111"/>
      <c r="AU97" s="161">
        <f>VLOOKUP(Y49,AC9:AN61,12,FALSE)+VLOOKUP(V49,AC9:AN61,12,FALSE)</f>
        <v>1</v>
      </c>
      <c r="AV97" s="161" t="str">
        <f t="shared" si="183"/>
        <v>Celtic</v>
      </c>
      <c r="AW97" s="161">
        <f t="shared" si="184"/>
        <v>2</v>
      </c>
      <c r="AX97" s="161" t="str">
        <f t="shared" si="185"/>
        <v>Celtic</v>
      </c>
      <c r="AY97" s="161">
        <f t="shared" si="186"/>
        <v>1</v>
      </c>
      <c r="AZ97" s="161" t="str">
        <f t="shared" si="187"/>
        <v>Ajax</v>
      </c>
      <c r="BA97" s="161">
        <f t="shared" si="188"/>
        <v>1</v>
      </c>
      <c r="BB97" s="161" t="str">
        <f t="shared" si="189"/>
        <v>Ajax</v>
      </c>
      <c r="BC97" s="161">
        <f t="shared" si="190"/>
        <v>2</v>
      </c>
      <c r="BD97" s="161" t="str">
        <f t="shared" si="191"/>
        <v>Celtic_win</v>
      </c>
      <c r="BE97" s="161" t="str">
        <f t="shared" si="192"/>
        <v>Ajax_lose</v>
      </c>
      <c r="BF97" s="161" t="str">
        <f t="shared" si="193"/>
        <v/>
      </c>
      <c r="BG97" s="161" t="str">
        <f t="shared" si="194"/>
        <v/>
      </c>
      <c r="BH97" s="161" t="str">
        <f t="shared" si="151"/>
        <v/>
      </c>
      <c r="BI97" s="161" t="str">
        <f t="shared" si="152"/>
        <v/>
      </c>
      <c r="BJ97" s="161" t="str">
        <f t="shared" si="153"/>
        <v/>
      </c>
      <c r="BK97" s="161" t="str">
        <f t="shared" si="154"/>
        <v/>
      </c>
      <c r="BL97" s="161" t="str">
        <f t="shared" si="155"/>
        <v/>
      </c>
      <c r="BM97" s="161" t="str">
        <f t="shared" si="156"/>
        <v/>
      </c>
      <c r="BN97" s="161" t="str">
        <f t="shared" si="157"/>
        <v/>
      </c>
      <c r="BO97" s="161" t="str">
        <f t="shared" si="158"/>
        <v/>
      </c>
    </row>
    <row r="98" spans="23:67" ht="16.5" hidden="1" customHeight="1" x14ac:dyDescent="0.2">
      <c r="W98" s="111"/>
      <c r="X98" s="111"/>
      <c r="Y98" s="111"/>
      <c r="Z98" s="111"/>
      <c r="AU98" s="161">
        <f>VLOOKUP(Y50,AC9:AN61,12,FALSE)+VLOOKUP(V50,AC9:AN61,12,FALSE)</f>
        <v>0</v>
      </c>
      <c r="AV98" s="161" t="str">
        <f t="shared" si="183"/>
        <v>Milan</v>
      </c>
      <c r="AW98" s="161">
        <f t="shared" si="184"/>
        <v>1</v>
      </c>
      <c r="AX98" s="161" t="str">
        <f t="shared" si="185"/>
        <v>Milan</v>
      </c>
      <c r="AY98" s="161">
        <f t="shared" si="186"/>
        <v>1</v>
      </c>
      <c r="AZ98" s="161" t="str">
        <f t="shared" si="187"/>
        <v>Barcelona</v>
      </c>
      <c r="BA98" s="161">
        <f t="shared" si="188"/>
        <v>1</v>
      </c>
      <c r="BB98" s="161" t="str">
        <f t="shared" si="189"/>
        <v>Barcelona</v>
      </c>
      <c r="BC98" s="161">
        <f t="shared" si="190"/>
        <v>1</v>
      </c>
      <c r="BD98" s="161" t="str">
        <f t="shared" si="191"/>
        <v>Milan_draw</v>
      </c>
      <c r="BE98" s="161" t="str">
        <f t="shared" si="192"/>
        <v>Barcelona_draw</v>
      </c>
      <c r="BF98" s="161" t="str">
        <f t="shared" si="193"/>
        <v/>
      </c>
      <c r="BG98" s="161" t="str">
        <f t="shared" si="194"/>
        <v/>
      </c>
      <c r="BH98" s="161" t="str">
        <f t="shared" si="151"/>
        <v/>
      </c>
      <c r="BI98" s="161" t="str">
        <f t="shared" si="152"/>
        <v/>
      </c>
      <c r="BJ98" s="161" t="str">
        <f t="shared" si="153"/>
        <v/>
      </c>
      <c r="BK98" s="161" t="str">
        <f t="shared" si="154"/>
        <v/>
      </c>
      <c r="BL98" s="161" t="str">
        <f t="shared" si="155"/>
        <v/>
      </c>
      <c r="BM98" s="161" t="str">
        <f t="shared" si="156"/>
        <v/>
      </c>
      <c r="BN98" s="161" t="str">
        <f t="shared" si="157"/>
        <v/>
      </c>
      <c r="BO98" s="161" t="str">
        <f t="shared" si="158"/>
        <v/>
      </c>
    </row>
    <row r="99" spans="23:67" ht="16.5" hidden="1" customHeight="1" x14ac:dyDescent="0.2">
      <c r="W99" s="111"/>
      <c r="X99" s="111"/>
      <c r="Y99" s="111"/>
      <c r="Z99" s="111"/>
      <c r="AU99" s="161">
        <f>VLOOKUP(Y51,AC9:AN61,12,FALSE)+VLOOKUP(V51,AC9:AN61,12,FALSE)</f>
        <v>1</v>
      </c>
      <c r="AV99" s="161" t="str">
        <f t="shared" si="183"/>
        <v>Ajax</v>
      </c>
      <c r="AW99" s="161">
        <f t="shared" si="184"/>
        <v>1</v>
      </c>
      <c r="AX99" s="161" t="str">
        <f t="shared" si="185"/>
        <v>Ajax</v>
      </c>
      <c r="AY99" s="161">
        <f t="shared" si="186"/>
        <v>0</v>
      </c>
      <c r="AZ99" s="161" t="str">
        <f t="shared" si="187"/>
        <v>Celtic</v>
      </c>
      <c r="BA99" s="161">
        <f t="shared" si="188"/>
        <v>0</v>
      </c>
      <c r="BB99" s="161" t="str">
        <f t="shared" si="189"/>
        <v>Celtic</v>
      </c>
      <c r="BC99" s="161">
        <f t="shared" si="190"/>
        <v>1</v>
      </c>
      <c r="BD99" s="161" t="str">
        <f t="shared" si="191"/>
        <v>Ajax_win</v>
      </c>
      <c r="BE99" s="161" t="str">
        <f t="shared" si="192"/>
        <v>Celtic_lose</v>
      </c>
      <c r="BF99" s="161" t="str">
        <f t="shared" si="193"/>
        <v/>
      </c>
      <c r="BG99" s="161" t="str">
        <f t="shared" si="194"/>
        <v/>
      </c>
      <c r="BH99" s="161" t="str">
        <f t="shared" si="151"/>
        <v/>
      </c>
      <c r="BI99" s="161" t="str">
        <f t="shared" si="152"/>
        <v/>
      </c>
      <c r="BJ99" s="161" t="str">
        <f t="shared" si="153"/>
        <v/>
      </c>
      <c r="BK99" s="161" t="str">
        <f t="shared" si="154"/>
        <v/>
      </c>
      <c r="BL99" s="161" t="str">
        <f t="shared" si="155"/>
        <v/>
      </c>
      <c r="BM99" s="161" t="str">
        <f t="shared" si="156"/>
        <v/>
      </c>
      <c r="BN99" s="161" t="str">
        <f t="shared" si="157"/>
        <v/>
      </c>
      <c r="BO99" s="161" t="str">
        <f t="shared" si="158"/>
        <v/>
      </c>
    </row>
    <row r="100" spans="23:67" ht="16.5" hidden="1" customHeight="1" x14ac:dyDescent="0.2">
      <c r="W100" s="111"/>
      <c r="X100" s="111"/>
      <c r="Y100" s="111"/>
      <c r="Z100" s="111"/>
      <c r="AU100" s="161">
        <f>VLOOKUP(Y52,AC9:AN61,12,FALSE)+VLOOKUP(V52,AC9:AN61,12,FALSE)</f>
        <v>0</v>
      </c>
      <c r="AV100" s="161" t="str">
        <f t="shared" si="183"/>
        <v>Barcelona</v>
      </c>
      <c r="AW100" s="161">
        <f t="shared" si="184"/>
        <v>3</v>
      </c>
      <c r="AX100" s="161" t="str">
        <f t="shared" si="185"/>
        <v>Barcelona</v>
      </c>
      <c r="AY100" s="161">
        <f t="shared" si="186"/>
        <v>1</v>
      </c>
      <c r="AZ100" s="161" t="str">
        <f t="shared" si="187"/>
        <v>Milan</v>
      </c>
      <c r="BA100" s="161">
        <f t="shared" si="188"/>
        <v>1</v>
      </c>
      <c r="BB100" s="161" t="str">
        <f t="shared" si="189"/>
        <v>Milan</v>
      </c>
      <c r="BC100" s="161">
        <f t="shared" si="190"/>
        <v>3</v>
      </c>
      <c r="BD100" s="161" t="str">
        <f t="shared" si="191"/>
        <v>Barcelona_win</v>
      </c>
      <c r="BE100" s="161" t="str">
        <f t="shared" si="192"/>
        <v>Milan_lose</v>
      </c>
      <c r="BF100" s="161" t="str">
        <f t="shared" si="193"/>
        <v/>
      </c>
      <c r="BG100" s="161" t="str">
        <f t="shared" si="194"/>
        <v/>
      </c>
      <c r="BH100" s="161" t="str">
        <f t="shared" si="151"/>
        <v/>
      </c>
      <c r="BI100" s="161" t="str">
        <f t="shared" si="152"/>
        <v/>
      </c>
      <c r="BJ100" s="161" t="str">
        <f t="shared" si="153"/>
        <v/>
      </c>
      <c r="BK100" s="161" t="str">
        <f t="shared" si="154"/>
        <v/>
      </c>
      <c r="BL100" s="161" t="str">
        <f t="shared" si="155"/>
        <v/>
      </c>
      <c r="BM100" s="161" t="str">
        <f t="shared" si="156"/>
        <v/>
      </c>
      <c r="BN100" s="161" t="str">
        <f t="shared" si="157"/>
        <v/>
      </c>
      <c r="BO100" s="161" t="str">
        <f t="shared" si="158"/>
        <v/>
      </c>
    </row>
    <row r="101" spans="23:67" ht="16.5" hidden="1" customHeight="1" x14ac:dyDescent="0.2">
      <c r="W101" s="111"/>
      <c r="X101" s="111"/>
      <c r="Y101" s="111"/>
      <c r="Z101" s="111"/>
      <c r="AU101" s="161">
        <f>VLOOKUP(Y53,AC9:AN61,12,FALSE)+VLOOKUP(V53,AC9:AN61,12,FALSE)</f>
        <v>1</v>
      </c>
      <c r="AV101" s="161" t="str">
        <f t="shared" si="183"/>
        <v>Ajax</v>
      </c>
      <c r="AW101" s="161">
        <f t="shared" si="184"/>
        <v>0</v>
      </c>
      <c r="AX101" s="161" t="str">
        <f t="shared" si="185"/>
        <v>Ajax</v>
      </c>
      <c r="AY101" s="161">
        <f t="shared" si="186"/>
        <v>0</v>
      </c>
      <c r="AZ101" s="161" t="str">
        <f t="shared" si="187"/>
        <v>Barcelona</v>
      </c>
      <c r="BA101" s="161">
        <f t="shared" si="188"/>
        <v>0</v>
      </c>
      <c r="BB101" s="161" t="str">
        <f t="shared" si="189"/>
        <v>Barcelona</v>
      </c>
      <c r="BC101" s="161">
        <f t="shared" si="190"/>
        <v>0</v>
      </c>
      <c r="BD101" s="161" t="str">
        <f t="shared" si="191"/>
        <v/>
      </c>
      <c r="BE101" s="161" t="str">
        <f t="shared" si="192"/>
        <v/>
      </c>
      <c r="BF101" s="161" t="str">
        <f t="shared" si="193"/>
        <v/>
      </c>
      <c r="BG101" s="161" t="str">
        <f t="shared" si="194"/>
        <v/>
      </c>
      <c r="BH101" s="161" t="str">
        <f t="shared" si="151"/>
        <v/>
      </c>
      <c r="BI101" s="161" t="str">
        <f t="shared" si="152"/>
        <v/>
      </c>
      <c r="BJ101" s="161" t="str">
        <f t="shared" si="153"/>
        <v/>
      </c>
      <c r="BK101" s="161" t="str">
        <f t="shared" si="154"/>
        <v/>
      </c>
      <c r="BL101" s="161" t="str">
        <f t="shared" si="155"/>
        <v/>
      </c>
      <c r="BM101" s="161" t="str">
        <f t="shared" si="156"/>
        <v/>
      </c>
      <c r="BN101" s="161" t="str">
        <f t="shared" si="157"/>
        <v/>
      </c>
      <c r="BO101" s="161" t="str">
        <f t="shared" si="158"/>
        <v/>
      </c>
    </row>
    <row r="102" spans="23:67" ht="16.5" hidden="1" customHeight="1" x14ac:dyDescent="0.2">
      <c r="W102" s="111"/>
      <c r="X102" s="111"/>
      <c r="Y102" s="111"/>
      <c r="Z102" s="111"/>
      <c r="AU102" s="161">
        <f>VLOOKUP(Y54,AC9:AN61,12,FALSE)+VLOOKUP(V54,AC9:AN61,12,FALSE)</f>
        <v>0</v>
      </c>
      <c r="AV102" s="161" t="str">
        <f t="shared" si="183"/>
        <v>Celtic</v>
      </c>
      <c r="AW102" s="161">
        <f t="shared" si="184"/>
        <v>0</v>
      </c>
      <c r="AX102" s="161" t="str">
        <f t="shared" si="185"/>
        <v>Celtic</v>
      </c>
      <c r="AY102" s="161">
        <f t="shared" si="186"/>
        <v>0</v>
      </c>
      <c r="AZ102" s="161" t="str">
        <f t="shared" si="187"/>
        <v>Milan</v>
      </c>
      <c r="BA102" s="161">
        <f t="shared" si="188"/>
        <v>0</v>
      </c>
      <c r="BB102" s="161" t="str">
        <f t="shared" si="189"/>
        <v>Milan</v>
      </c>
      <c r="BC102" s="161">
        <f t="shared" si="190"/>
        <v>0</v>
      </c>
      <c r="BD102" s="161" t="str">
        <f t="shared" si="191"/>
        <v/>
      </c>
      <c r="BE102" s="161" t="str">
        <f t="shared" si="192"/>
        <v/>
      </c>
      <c r="BF102" s="161" t="str">
        <f t="shared" si="193"/>
        <v/>
      </c>
      <c r="BG102" s="161" t="str">
        <f t="shared" si="194"/>
        <v/>
      </c>
      <c r="BH102" s="161" t="str">
        <f t="shared" si="151"/>
        <v/>
      </c>
      <c r="BI102" s="161" t="str">
        <f t="shared" si="152"/>
        <v/>
      </c>
      <c r="BJ102" s="161" t="str">
        <f t="shared" si="153"/>
        <v/>
      </c>
      <c r="BK102" s="161" t="str">
        <f t="shared" si="154"/>
        <v/>
      </c>
      <c r="BL102" s="161" t="str">
        <f t="shared" si="155"/>
        <v/>
      </c>
      <c r="BM102" s="161" t="str">
        <f t="shared" si="156"/>
        <v/>
      </c>
      <c r="BN102" s="161" t="str">
        <f t="shared" si="157"/>
        <v/>
      </c>
      <c r="BO102" s="161" t="str">
        <f t="shared" si="158"/>
        <v/>
      </c>
    </row>
    <row r="103" spans="23:67" ht="16.5" hidden="1" customHeight="1" x14ac:dyDescent="0.2">
      <c r="W103" s="111"/>
      <c r="X103" s="111"/>
      <c r="Y103" s="111"/>
      <c r="Z103" s="111"/>
      <c r="AU103" s="161">
        <f>VLOOKUP(Y55,AC9:AN61,12,FALSE)+VLOOKUP(V55,AC9:AN61,12,FALSE)</f>
        <v>0</v>
      </c>
      <c r="AV103" s="161" t="str">
        <f t="shared" si="183"/>
        <v>Barcelona</v>
      </c>
      <c r="AW103" s="161">
        <f t="shared" si="184"/>
        <v>0</v>
      </c>
      <c r="AX103" s="161" t="str">
        <f t="shared" si="185"/>
        <v>Barcelona</v>
      </c>
      <c r="AY103" s="161">
        <f t="shared" si="186"/>
        <v>0</v>
      </c>
      <c r="AZ103" s="161" t="str">
        <f t="shared" si="187"/>
        <v>Celtic</v>
      </c>
      <c r="BA103" s="161">
        <f t="shared" si="188"/>
        <v>0</v>
      </c>
      <c r="BB103" s="161" t="str">
        <f t="shared" si="189"/>
        <v>Celtic</v>
      </c>
      <c r="BC103" s="161">
        <f t="shared" si="190"/>
        <v>0</v>
      </c>
      <c r="BD103" s="161" t="str">
        <f t="shared" si="191"/>
        <v/>
      </c>
      <c r="BE103" s="161" t="str">
        <f t="shared" si="192"/>
        <v/>
      </c>
      <c r="BF103" s="161" t="str">
        <f t="shared" si="193"/>
        <v/>
      </c>
      <c r="BG103" s="161" t="str">
        <f t="shared" si="194"/>
        <v/>
      </c>
      <c r="BH103" s="161" t="str">
        <f t="shared" si="151"/>
        <v/>
      </c>
      <c r="BI103" s="161" t="str">
        <f t="shared" si="152"/>
        <v/>
      </c>
      <c r="BJ103" s="161" t="str">
        <f t="shared" si="153"/>
        <v/>
      </c>
      <c r="BK103" s="161" t="str">
        <f t="shared" si="154"/>
        <v/>
      </c>
      <c r="BL103" s="161" t="str">
        <f t="shared" si="155"/>
        <v/>
      </c>
      <c r="BM103" s="161" t="str">
        <f t="shared" si="156"/>
        <v/>
      </c>
      <c r="BN103" s="161" t="str">
        <f t="shared" si="157"/>
        <v/>
      </c>
      <c r="BO103" s="161" t="str">
        <f t="shared" si="158"/>
        <v/>
      </c>
    </row>
    <row r="104" spans="23:67" ht="16.5" hidden="1" customHeight="1" x14ac:dyDescent="0.2">
      <c r="W104" s="111"/>
      <c r="X104" s="111"/>
      <c r="Y104" s="111"/>
      <c r="Z104" s="111"/>
      <c r="AU104" s="161">
        <f>VLOOKUP(Y56,AC9:AN61,12,FALSE)+VLOOKUP(V56,AC9:AN61,12,FALSE)</f>
        <v>1</v>
      </c>
      <c r="AV104" s="161" t="str">
        <f t="shared" si="183"/>
        <v>Milan</v>
      </c>
      <c r="AW104" s="161">
        <f t="shared" si="184"/>
        <v>0</v>
      </c>
      <c r="AX104" s="161" t="str">
        <f t="shared" si="185"/>
        <v>Milan</v>
      </c>
      <c r="AY104" s="161">
        <f t="shared" si="186"/>
        <v>0</v>
      </c>
      <c r="AZ104" s="161" t="str">
        <f t="shared" si="187"/>
        <v>Ajax</v>
      </c>
      <c r="BA104" s="161">
        <f t="shared" si="188"/>
        <v>0</v>
      </c>
      <c r="BB104" s="161" t="str">
        <f t="shared" si="189"/>
        <v>Ajax</v>
      </c>
      <c r="BC104" s="161">
        <f t="shared" si="190"/>
        <v>0</v>
      </c>
      <c r="BD104" s="161" t="str">
        <f t="shared" si="191"/>
        <v/>
      </c>
      <c r="BE104" s="161" t="str">
        <f t="shared" si="192"/>
        <v/>
      </c>
      <c r="BF104" s="161" t="str">
        <f t="shared" si="193"/>
        <v/>
      </c>
      <c r="BG104" s="161" t="str">
        <f t="shared" si="194"/>
        <v/>
      </c>
      <c r="BH104" s="161" t="str">
        <f t="shared" si="151"/>
        <v/>
      </c>
      <c r="BI104" s="161" t="str">
        <f t="shared" si="152"/>
        <v/>
      </c>
      <c r="BJ104" s="161" t="str">
        <f t="shared" si="153"/>
        <v/>
      </c>
      <c r="BK104" s="161" t="str">
        <f t="shared" si="154"/>
        <v/>
      </c>
      <c r="BL104" s="161" t="str">
        <f t="shared" si="155"/>
        <v/>
      </c>
      <c r="BM104" s="161" t="str">
        <f t="shared" si="156"/>
        <v/>
      </c>
      <c r="BN104" s="161" t="str">
        <f t="shared" si="157"/>
        <v/>
      </c>
      <c r="BO104" s="161" t="str">
        <f t="shared" si="158"/>
        <v/>
      </c>
    </row>
    <row r="105" spans="23:67" x14ac:dyDescent="0.2">
      <c r="W105" s="111"/>
      <c r="X105" s="111"/>
      <c r="Y105" s="111"/>
      <c r="Z105" s="111"/>
    </row>
  </sheetData>
  <sheetProtection password="81D4" sheet="1" objects="1" scenarios="1"/>
  <mergeCells count="67">
    <mergeCell ref="P21:P22"/>
    <mergeCell ref="K14:K15"/>
    <mergeCell ref="L14:L15"/>
    <mergeCell ref="M14:M15"/>
    <mergeCell ref="K21:K22"/>
    <mergeCell ref="L21:L22"/>
    <mergeCell ref="M21:M22"/>
    <mergeCell ref="N21:N22"/>
    <mergeCell ref="O21:O22"/>
    <mergeCell ref="P35:P36"/>
    <mergeCell ref="K28:K29"/>
    <mergeCell ref="L28:L29"/>
    <mergeCell ref="M28:M29"/>
    <mergeCell ref="N28:N29"/>
    <mergeCell ref="P28:P29"/>
    <mergeCell ref="O28:O29"/>
    <mergeCell ref="M35:M36"/>
    <mergeCell ref="N35:N36"/>
    <mergeCell ref="O35:O36"/>
    <mergeCell ref="P42:P43"/>
    <mergeCell ref="K49:K50"/>
    <mergeCell ref="L49:L50"/>
    <mergeCell ref="M49:M50"/>
    <mergeCell ref="N49:N50"/>
    <mergeCell ref="O49:O50"/>
    <mergeCell ref="P49:P50"/>
    <mergeCell ref="K42:K43"/>
    <mergeCell ref="L42:L43"/>
    <mergeCell ref="M42:M43"/>
    <mergeCell ref="P56:P57"/>
    <mergeCell ref="Z21:Z32"/>
    <mergeCell ref="A33:A44"/>
    <mergeCell ref="K56:K57"/>
    <mergeCell ref="L56:L57"/>
    <mergeCell ref="M56:M57"/>
    <mergeCell ref="N56:N57"/>
    <mergeCell ref="Z33:Z44"/>
    <mergeCell ref="A45:A56"/>
    <mergeCell ref="Z45:Z56"/>
    <mergeCell ref="A21:A32"/>
    <mergeCell ref="O56:O57"/>
    <mergeCell ref="O42:O43"/>
    <mergeCell ref="N42:N43"/>
    <mergeCell ref="K35:K36"/>
    <mergeCell ref="L35:L36"/>
    <mergeCell ref="F1:X1"/>
    <mergeCell ref="Z9:Z20"/>
    <mergeCell ref="O14:O15"/>
    <mergeCell ref="N14:N15"/>
    <mergeCell ref="P14:P15"/>
    <mergeCell ref="V7:V8"/>
    <mergeCell ref="Y7:Y8"/>
    <mergeCell ref="P7:P8"/>
    <mergeCell ref="Z7:Z8"/>
    <mergeCell ref="F7:F8"/>
    <mergeCell ref="I7:I8"/>
    <mergeCell ref="O7:O8"/>
    <mergeCell ref="N7:N8"/>
    <mergeCell ref="D3:K5"/>
    <mergeCell ref="M3:W5"/>
    <mergeCell ref="A9:A20"/>
    <mergeCell ref="A7:A8"/>
    <mergeCell ref="B7:E8"/>
    <mergeCell ref="R7:U8"/>
    <mergeCell ref="K7:K8"/>
    <mergeCell ref="L7:L8"/>
    <mergeCell ref="M7:M8"/>
  </mergeCells>
  <phoneticPr fontId="0" type="noConversion"/>
  <conditionalFormatting sqref="K16:P17">
    <cfRule type="expression" dxfId="39" priority="46" stopIfTrue="1">
      <formula>IF(SUM($L$16:$N$19)=24,1,0)</formula>
    </cfRule>
  </conditionalFormatting>
  <conditionalFormatting sqref="K23:P24">
    <cfRule type="expression" dxfId="38" priority="47" stopIfTrue="1">
      <formula>IF(SUM($L$23:$N$26)=24,1,0)</formula>
    </cfRule>
  </conditionalFormatting>
  <conditionalFormatting sqref="K30:P31">
    <cfRule type="expression" dxfId="37" priority="48" stopIfTrue="1">
      <formula>IF(SUM($L$30:$N$33)=24,1,0)</formula>
    </cfRule>
  </conditionalFormatting>
  <conditionalFormatting sqref="K37:P38">
    <cfRule type="expression" dxfId="36" priority="49" stopIfTrue="1">
      <formula>IF(SUM($L$37:$N$40)=24,1,0)</formula>
    </cfRule>
  </conditionalFormatting>
  <conditionalFormatting sqref="K44:P45">
    <cfRule type="expression" dxfId="35" priority="50" stopIfTrue="1">
      <formula>IF(SUM($L$44:$N$47)=24,1,0)</formula>
    </cfRule>
  </conditionalFormatting>
  <conditionalFormatting sqref="K51:P52">
    <cfRule type="expression" dxfId="34" priority="51" stopIfTrue="1">
      <formula>IF(SUM($L$51:$N$54)=24,1,0)</formula>
    </cfRule>
  </conditionalFormatting>
  <conditionalFormatting sqref="K58:P59">
    <cfRule type="expression" dxfId="33" priority="52" stopIfTrue="1">
      <formula>IF(SUM($L$58:$N$61)=24,1,0)</formula>
    </cfRule>
  </conditionalFormatting>
  <conditionalFormatting sqref="K9:P10">
    <cfRule type="expression" dxfId="32" priority="53" stopIfTrue="1">
      <formula>IF(SUM($L$9:$N$12)=24,1,0)</formula>
    </cfRule>
  </conditionalFormatting>
  <conditionalFormatting sqref="F9:F56">
    <cfRule type="expression" dxfId="31" priority="10">
      <formula>IF(BU9=-1,1,0)</formula>
    </cfRule>
    <cfRule type="expression" dxfId="30" priority="11">
      <formula>IF(BU9=3,1,0)</formula>
    </cfRule>
    <cfRule type="expression" dxfId="29" priority="12">
      <formula>IF(BU9=1,1,0)</formula>
    </cfRule>
  </conditionalFormatting>
  <conditionalFormatting sqref="I9:I56">
    <cfRule type="expression" dxfId="28" priority="7">
      <formula>IF(BV9=3,1,0)</formula>
    </cfRule>
    <cfRule type="expression" dxfId="27" priority="8">
      <formula>IF(BV9=1,1,0)</formula>
    </cfRule>
    <cfRule type="expression" dxfId="26" priority="9">
      <formula>IF(BV9=-1,1,0)</formula>
    </cfRule>
  </conditionalFormatting>
  <conditionalFormatting sqref="V9:V56">
    <cfRule type="expression" dxfId="25" priority="4">
      <formula>IF(BW9=-1,1,0)</formula>
    </cfRule>
    <cfRule type="expression" dxfId="24" priority="5">
      <formula>IF(BW9=3,1,0)</formula>
    </cfRule>
    <cfRule type="expression" dxfId="23" priority="6">
      <formula>IF(BW9=1,1,0)</formula>
    </cfRule>
  </conditionalFormatting>
  <conditionalFormatting sqref="Y9:Y56">
    <cfRule type="expression" dxfId="22" priority="1">
      <formula>IF(BX9=-1,1,0)</formula>
    </cfRule>
    <cfRule type="expression" dxfId="21" priority="2">
      <formula>IF(BX9=3,1,0)</formula>
    </cfRule>
    <cfRule type="expression" dxfId="20" priority="3">
      <formula>IF(BX9=1,1,0)</formula>
    </cfRule>
  </conditionalFormatting>
  <dataValidations disablePrompts="1" count="1">
    <dataValidation type="list" showInputMessage="1" showErrorMessage="1" sqref="Y5">
      <formula1>$BR$9:$BR$16</formula1>
    </dataValidation>
  </dataValidations>
  <hyperlinks>
    <hyperlink ref="A9:A20" location="Group_A" tooltip="Group A" display="Group A"/>
    <hyperlink ref="K9:P12" location="Fixtures_A" tooltip="Fixtures and Results Group A" display="Fixtures_A"/>
    <hyperlink ref="Z9:Z20" location="Group_B" tooltip="Group B" display="Group B"/>
    <hyperlink ref="A21:A32" location="Group_C" tooltip="Group C" display="Group C"/>
    <hyperlink ref="Z21:Z32" location="Group_D" tooltip="Group D" display="Group D"/>
    <hyperlink ref="A33:A44" location="Group_E" tooltip="Group E" display="Group E"/>
    <hyperlink ref="Z33:Z44" location="Group_F" tooltip="Group F" display="Group F"/>
    <hyperlink ref="A45:A56" location="Group_G" tooltip="Group G" display="Group G"/>
    <hyperlink ref="Z45:Z56" location="Group_H" tooltip="Group H" display="Group H"/>
    <hyperlink ref="K16:P19" location="Fixtures_B" tooltip="Fixtures and Results Group B" display="Fixtures_B"/>
    <hyperlink ref="K23:P26" location="Fixtures_C" tooltip="Fixtures and Results Group C" display="Fixtures_C"/>
    <hyperlink ref="K30:P33" location="Fixtures_D" tooltip="Fixtures and Results Group D" display="Fixtures_D"/>
    <hyperlink ref="K37:P40" location="Fixtures_E" tooltip="Fixtures and Results Group E" display="Fixtures_E"/>
    <hyperlink ref="K44:P47" location="Fixtures_F" tooltip="Fixtures and Results Group F" display="Fixtures_F"/>
    <hyperlink ref="K51:P54" location="Fixtures_G" tooltip="Fixtures and Results Group G" display="Fixtures_G"/>
    <hyperlink ref="K58:P61" location="Fixtures_H" tooltip="Fixtures and Results Group H" display="Fixtures_H"/>
    <hyperlink ref="D3:K3" r:id="rId1" tooltip="Excely.com" display="http://www.excely.com/football/uefa-champions-league/acefixtures.html?excel"/>
    <hyperlink ref="D3:K5" r:id="rId2" tooltip="Excely.com" display="http://www.excely.com/"/>
    <hyperlink ref="M3:T5" r:id="rId3" tooltip="Excely.com" display="http://www.excely.com/"/>
    <hyperlink ref="M3:T3" r:id="rId4" tooltip="Excely.com" display="http://www.excely.com/football/uefa-champions-league/acefixtures.html?excel"/>
    <hyperlink ref="M3:W5" r:id="rId5" tooltip="www.fanschedule.com" display="http://www.fanschedule.com/2013-uefa-champions-league-round1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57" orientation="landscape" r:id="rId6"/>
  <headerFooter alignWithMargins="0">
    <oddFooter>&amp;CExcely.com (c) 2006</oddFooter>
  </headerFooter>
  <picture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T46"/>
  <sheetViews>
    <sheetView showGridLines="0" zoomScale="80" workbookViewId="0">
      <selection activeCell="G19" sqref="G19"/>
    </sheetView>
  </sheetViews>
  <sheetFormatPr defaultRowHeight="12.75" x14ac:dyDescent="0.2"/>
  <cols>
    <col min="1" max="1" width="2.5" style="13" customWidth="1"/>
    <col min="2" max="2" width="6.5" style="3" customWidth="1"/>
    <col min="3" max="3" width="4.6640625" style="11" customWidth="1"/>
    <col min="4" max="4" width="7.33203125" style="11" customWidth="1"/>
    <col min="5" max="5" width="7.83203125" style="3" customWidth="1"/>
    <col min="6" max="6" width="20" style="8" customWidth="1"/>
    <col min="7" max="8" width="4" style="4" customWidth="1"/>
    <col min="9" max="9" width="20" style="10" customWidth="1"/>
    <col min="10" max="12" width="2.5" style="13" customWidth="1"/>
    <col min="13" max="13" width="6.5" style="3" customWidth="1"/>
    <col min="14" max="14" width="4.6640625" style="11" customWidth="1"/>
    <col min="15" max="15" width="7.33203125" style="11" customWidth="1"/>
    <col min="16" max="16" width="7.83203125" style="3" customWidth="1"/>
    <col min="17" max="17" width="20" style="8" customWidth="1"/>
    <col min="18" max="19" width="4" style="4" customWidth="1"/>
    <col min="20" max="20" width="20" style="10" customWidth="1"/>
    <col min="21" max="23" width="2.5" style="13" customWidth="1"/>
    <col min="24" max="24" width="6.5" style="3" customWidth="1"/>
    <col min="25" max="25" width="4.6640625" style="11" customWidth="1"/>
    <col min="26" max="26" width="7.33203125" style="11" customWidth="1"/>
    <col min="27" max="27" width="7.83203125" style="3" customWidth="1"/>
    <col min="28" max="28" width="20" style="8" customWidth="1"/>
    <col min="29" max="30" width="4" style="4" customWidth="1"/>
    <col min="31" max="31" width="20" style="10" customWidth="1"/>
    <col min="32" max="32" width="2.5" style="13" customWidth="1"/>
    <col min="33" max="33" width="9.33203125" style="13"/>
    <col min="34" max="34" width="9.33203125" style="118"/>
    <col min="35" max="35" width="9.33203125" style="118" hidden="1" customWidth="1"/>
    <col min="36" max="37" width="13.33203125" style="118" hidden="1" customWidth="1"/>
    <col min="38" max="45" width="9.33203125" style="118" hidden="1" customWidth="1"/>
    <col min="46" max="46" width="0" style="118" hidden="1" customWidth="1"/>
    <col min="47" max="16384" width="9.33203125" style="13"/>
  </cols>
  <sheetData>
    <row r="1" spans="1:46" s="1" customFormat="1" ht="30.75" customHeight="1" x14ac:dyDescent="0.2">
      <c r="A1" s="177" t="str">
        <f>INDEX(T,2,langID)</f>
        <v>AceFixtures for UEFA Champions League 2013/2014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7"/>
      <c r="AH1" s="115"/>
      <c r="AI1" s="115"/>
      <c r="AJ1" s="115"/>
      <c r="AK1" s="115"/>
      <c r="AL1" s="116"/>
      <c r="AM1" s="116"/>
      <c r="AN1" s="116"/>
      <c r="AO1" s="116"/>
      <c r="AP1" s="116"/>
      <c r="AQ1" s="116"/>
      <c r="AR1" s="116"/>
      <c r="AS1" s="117"/>
      <c r="AT1" s="117"/>
    </row>
    <row r="2" spans="1:46" s="1" customFormat="1" ht="6.75" customHeight="1" thickBot="1" x14ac:dyDescent="0.25">
      <c r="A2" s="2"/>
      <c r="B2" s="3"/>
      <c r="C2" s="11"/>
      <c r="D2" s="11"/>
      <c r="E2" s="3"/>
      <c r="F2" s="8"/>
      <c r="G2" s="4"/>
      <c r="O2" s="4"/>
      <c r="P2" s="4"/>
      <c r="Q2" s="4"/>
      <c r="R2" s="4"/>
      <c r="S2" s="4"/>
      <c r="U2" s="3"/>
      <c r="Z2" s="4"/>
      <c r="AA2" s="4"/>
      <c r="AB2" s="4"/>
      <c r="AC2" s="4"/>
      <c r="AD2" s="4"/>
      <c r="AF2" s="3"/>
      <c r="AG2" s="11"/>
      <c r="AH2" s="117"/>
      <c r="AI2" s="117"/>
      <c r="AJ2" s="118"/>
      <c r="AK2" s="118"/>
      <c r="AL2" s="116"/>
      <c r="AM2" s="116"/>
      <c r="AN2" s="116"/>
      <c r="AO2" s="116"/>
      <c r="AP2" s="116"/>
      <c r="AQ2" s="116"/>
      <c r="AR2" s="116"/>
      <c r="AS2" s="117"/>
      <c r="AT2" s="117"/>
    </row>
    <row r="3" spans="1:46" s="1" customFormat="1" ht="30.75" customHeight="1" thickBot="1" x14ac:dyDescent="0.25">
      <c r="A3" s="5" t="str">
        <f>INDEX(T,3,langID)</f>
        <v>BETA Version</v>
      </c>
      <c r="B3" s="6"/>
      <c r="C3" s="12"/>
      <c r="D3" s="12"/>
      <c r="E3" s="6"/>
      <c r="J3" s="212" t="str">
        <f>INDEX(T,59,langID)</f>
        <v>Visit Homepage: Excely.com</v>
      </c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4"/>
      <c r="X3" s="6"/>
      <c r="Y3" s="6"/>
      <c r="Z3" s="6"/>
      <c r="AA3" s="6"/>
      <c r="AB3" s="6"/>
      <c r="AF3" s="6"/>
      <c r="AG3" s="12"/>
      <c r="AH3" s="119"/>
      <c r="AI3" s="119"/>
      <c r="AJ3" s="118"/>
      <c r="AK3" s="118"/>
      <c r="AL3" s="116"/>
      <c r="AM3" s="116"/>
      <c r="AN3" s="116"/>
      <c r="AO3" s="116"/>
      <c r="AP3" s="116"/>
      <c r="AQ3" s="116"/>
      <c r="AR3" s="116"/>
      <c r="AS3" s="117"/>
      <c r="AT3" s="117"/>
    </row>
    <row r="4" spans="1:46" s="1" customFormat="1" ht="6" customHeight="1" thickBot="1" x14ac:dyDescent="0.25">
      <c r="A4" s="9"/>
      <c r="B4" s="3"/>
      <c r="C4" s="11"/>
      <c r="D4" s="11"/>
      <c r="E4" s="3"/>
      <c r="F4" s="8"/>
      <c r="G4" s="4"/>
      <c r="H4" s="4"/>
      <c r="I4" s="10"/>
      <c r="J4" s="4"/>
      <c r="K4" s="4"/>
      <c r="L4" s="4"/>
      <c r="M4" s="3"/>
      <c r="N4" s="11"/>
      <c r="O4" s="11"/>
      <c r="P4" s="3"/>
      <c r="Q4" s="8"/>
      <c r="R4" s="4"/>
      <c r="S4" s="4"/>
      <c r="T4" s="10"/>
      <c r="U4" s="4"/>
      <c r="V4" s="4"/>
      <c r="AH4" s="120"/>
      <c r="AI4" s="120"/>
      <c r="AJ4" s="117"/>
      <c r="AK4" s="117"/>
      <c r="AL4" s="118"/>
      <c r="AM4" s="118"/>
      <c r="AN4" s="118"/>
      <c r="AO4" s="121"/>
      <c r="AP4" s="118"/>
      <c r="AQ4" s="118"/>
      <c r="AR4" s="121"/>
      <c r="AS4" s="117"/>
      <c r="AT4" s="117"/>
    </row>
    <row r="5" spans="1:46" s="1" customFormat="1" ht="6" customHeight="1" thickBot="1" x14ac:dyDescent="0.25">
      <c r="A5" s="56"/>
      <c r="B5" s="57"/>
      <c r="C5" s="58"/>
      <c r="D5" s="58"/>
      <c r="E5" s="57"/>
      <c r="F5" s="59"/>
      <c r="G5" s="60"/>
      <c r="H5" s="60"/>
      <c r="I5" s="61"/>
      <c r="J5" s="62"/>
      <c r="K5" s="4"/>
      <c r="L5" s="75"/>
      <c r="M5" s="57"/>
      <c r="N5" s="58"/>
      <c r="O5" s="58"/>
      <c r="P5" s="57"/>
      <c r="Q5" s="59"/>
      <c r="R5" s="60"/>
      <c r="S5" s="60"/>
      <c r="T5" s="61"/>
      <c r="U5" s="62"/>
      <c r="V5" s="4"/>
      <c r="W5" s="75"/>
      <c r="X5" s="57"/>
      <c r="Y5" s="58"/>
      <c r="Z5" s="58"/>
      <c r="AA5" s="57"/>
      <c r="AB5" s="59"/>
      <c r="AC5" s="60"/>
      <c r="AD5" s="60"/>
      <c r="AE5" s="61"/>
      <c r="AF5" s="62"/>
      <c r="AH5" s="117"/>
      <c r="AI5" s="117"/>
      <c r="AJ5" s="117"/>
      <c r="AK5" s="117"/>
      <c r="AL5" s="118"/>
      <c r="AM5" s="118"/>
      <c r="AN5" s="118"/>
      <c r="AO5" s="121"/>
      <c r="AP5" s="118"/>
      <c r="AQ5" s="118"/>
      <c r="AR5" s="121"/>
      <c r="AS5" s="117"/>
      <c r="AT5" s="117"/>
    </row>
    <row r="6" spans="1:46" ht="18.75" thickBot="1" x14ac:dyDescent="0.25">
      <c r="A6" s="92"/>
      <c r="B6" s="215" t="str">
        <f>INDEX(T,74,langID)</f>
        <v>First Knockout Round</v>
      </c>
      <c r="C6" s="215"/>
      <c r="D6" s="215"/>
      <c r="E6" s="215"/>
      <c r="F6" s="215"/>
      <c r="G6" s="215"/>
      <c r="H6" s="215"/>
      <c r="I6" s="215"/>
      <c r="J6" s="91"/>
      <c r="L6" s="92"/>
      <c r="M6" s="215" t="str">
        <f>INDEX(T,75,langID)</f>
        <v>Quarter Finals</v>
      </c>
      <c r="N6" s="215"/>
      <c r="O6" s="215"/>
      <c r="P6" s="215"/>
      <c r="Q6" s="215"/>
      <c r="R6" s="215"/>
      <c r="S6" s="215"/>
      <c r="T6" s="215"/>
      <c r="U6" s="91"/>
      <c r="W6" s="92"/>
      <c r="X6" s="215" t="str">
        <f>INDEX(T,76,langID)</f>
        <v>Semi Finals</v>
      </c>
      <c r="Y6" s="215"/>
      <c r="Z6" s="215"/>
      <c r="AA6" s="215"/>
      <c r="AB6" s="215"/>
      <c r="AC6" s="215"/>
      <c r="AD6" s="215"/>
      <c r="AE6" s="215"/>
      <c r="AF6" s="91"/>
      <c r="AJ6" s="253" t="s">
        <v>182</v>
      </c>
      <c r="AK6" s="254"/>
      <c r="AN6" s="122" t="s">
        <v>183</v>
      </c>
      <c r="AQ6" s="122" t="s">
        <v>295</v>
      </c>
    </row>
    <row r="7" spans="1:46" ht="16.5" customHeight="1" x14ac:dyDescent="0.2">
      <c r="A7" s="92"/>
      <c r="B7" s="63"/>
      <c r="C7" s="64"/>
      <c r="D7" s="64"/>
      <c r="E7" s="63"/>
      <c r="F7" s="218"/>
      <c r="G7" s="219"/>
      <c r="H7" s="219"/>
      <c r="I7" s="219"/>
      <c r="J7" s="91"/>
      <c r="L7" s="92"/>
      <c r="M7" s="63"/>
      <c r="N7" s="64"/>
      <c r="O7" s="64"/>
      <c r="P7" s="63"/>
      <c r="Q7" s="218"/>
      <c r="R7" s="219"/>
      <c r="S7" s="219"/>
      <c r="T7" s="219"/>
      <c r="U7" s="91"/>
      <c r="W7" s="92"/>
      <c r="X7" s="63"/>
      <c r="Y7" s="64"/>
      <c r="Z7" s="64"/>
      <c r="AA7" s="63"/>
      <c r="AB7" s="218"/>
      <c r="AC7" s="219"/>
      <c r="AD7" s="219"/>
      <c r="AE7" s="219"/>
      <c r="AF7" s="91"/>
      <c r="AJ7" s="123" t="str">
        <f>IF($AL$7=192,AK7,"")</f>
        <v/>
      </c>
      <c r="AK7" s="124" t="str">
        <f>'Champions League. Group Stage'!K9</f>
        <v>Man. United</v>
      </c>
      <c r="AL7" s="118">
        <f>SUM('Champions League. Group Stage'!L9:N12,'Champions League. Group Stage'!L16:N19,'Champions League. Group Stage'!L23:N26,'Champions League. Group Stage'!L30:N33,'Champions League. Group Stage'!L37:N40,'Champions League. Group Stage'!L44:N47,'Champions League. Group Stage'!L51:N54,'Champions League. Group Stage'!L58:N61)</f>
        <v>128</v>
      </c>
      <c r="AN7" s="125" t="str">
        <f>IF($AO$7=1,"",B37)</f>
        <v/>
      </c>
      <c r="AO7" s="118">
        <f>IF(AL37="",1,IF(AL38="",1,IF(AL39="",1,IF(AL40="",1,IF(AL41="",1,IF(AL42="",1,IF(AL43="",1,IF(AL44="",1,""))))))))</f>
        <v>1</v>
      </c>
      <c r="AQ7" s="125" t="str">
        <f>IF(AR7=1,"",M25)</f>
        <v/>
      </c>
      <c r="AR7" s="118">
        <f>IF(AO25="",1,IF(AO26="",1,IF(AO27="",1,IF(AO28="",1,""))))</f>
        <v>1</v>
      </c>
    </row>
    <row r="8" spans="1:46" ht="16.5" customHeight="1" x14ac:dyDescent="0.2">
      <c r="A8" s="92"/>
      <c r="B8" s="204" t="s">
        <v>3</v>
      </c>
      <c r="C8" s="205"/>
      <c r="D8" s="205"/>
      <c r="E8" s="205"/>
      <c r="F8" s="206"/>
      <c r="G8" s="65"/>
      <c r="H8" s="65"/>
      <c r="I8" s="65"/>
      <c r="J8" s="91"/>
      <c r="L8" s="92"/>
      <c r="M8" s="204" t="s">
        <v>3</v>
      </c>
      <c r="N8" s="205"/>
      <c r="O8" s="205"/>
      <c r="P8" s="205"/>
      <c r="Q8" s="206"/>
      <c r="R8" s="65"/>
      <c r="S8" s="65"/>
      <c r="T8" s="65"/>
      <c r="U8" s="91"/>
      <c r="W8" s="92"/>
      <c r="X8" s="204" t="s">
        <v>3</v>
      </c>
      <c r="Y8" s="205"/>
      <c r="Z8" s="205"/>
      <c r="AA8" s="205"/>
      <c r="AB8" s="206"/>
      <c r="AC8" s="65"/>
      <c r="AD8" s="65"/>
      <c r="AE8" s="65"/>
      <c r="AF8" s="91"/>
      <c r="AJ8" s="123" t="str">
        <f t="shared" ref="AJ8:AJ22" si="0">IF($AL$7=192,AK8,"")</f>
        <v/>
      </c>
      <c r="AK8" s="126" t="str">
        <f>'Champions League. Group Stage'!K10</f>
        <v>Bayer 04 Leverkusen</v>
      </c>
      <c r="AN8" s="127" t="str">
        <f t="shared" ref="AN8:AN14" si="1">IF($AO$7=1,"",B38)</f>
        <v/>
      </c>
      <c r="AQ8" s="127" t="str">
        <f>IF(AR7=1,"",M26)</f>
        <v/>
      </c>
    </row>
    <row r="9" spans="1:46" ht="16.5" customHeight="1" x14ac:dyDescent="0.2">
      <c r="A9" s="92"/>
      <c r="B9" s="216" t="s">
        <v>335</v>
      </c>
      <c r="C9" s="217"/>
      <c r="D9" s="217"/>
      <c r="E9" s="93" t="s">
        <v>179</v>
      </c>
      <c r="F9" s="105" t="s">
        <v>12</v>
      </c>
      <c r="G9" s="66"/>
      <c r="H9" s="66"/>
      <c r="I9" s="65"/>
      <c r="J9" s="91"/>
      <c r="L9" s="92"/>
      <c r="M9" s="216" t="s">
        <v>44</v>
      </c>
      <c r="N9" s="217"/>
      <c r="O9" s="217"/>
      <c r="P9" s="93" t="s">
        <v>179</v>
      </c>
      <c r="Q9" s="105" t="s">
        <v>324</v>
      </c>
      <c r="R9" s="66"/>
      <c r="S9" s="66"/>
      <c r="T9" s="65"/>
      <c r="U9" s="91"/>
      <c r="W9" s="92"/>
      <c r="X9" s="216"/>
      <c r="Y9" s="217"/>
      <c r="Z9" s="217"/>
      <c r="AA9" s="93" t="s">
        <v>179</v>
      </c>
      <c r="AB9" s="105"/>
      <c r="AC9" s="66"/>
      <c r="AD9" s="66"/>
      <c r="AE9" s="65"/>
      <c r="AF9" s="91"/>
      <c r="AJ9" s="123" t="str">
        <f t="shared" si="0"/>
        <v/>
      </c>
      <c r="AK9" s="126" t="str">
        <f>'Champions League. Group Stage'!K16</f>
        <v>Real Madrid</v>
      </c>
      <c r="AN9" s="127" t="str">
        <f t="shared" si="1"/>
        <v/>
      </c>
      <c r="AQ9" s="127" t="str">
        <f>IF(AR7=1,"",M27)</f>
        <v/>
      </c>
    </row>
    <row r="10" spans="1:46" ht="16.5" customHeight="1" thickBot="1" x14ac:dyDescent="0.25">
      <c r="A10" s="92"/>
      <c r="B10" s="202" t="s">
        <v>44</v>
      </c>
      <c r="C10" s="203"/>
      <c r="D10" s="203"/>
      <c r="E10" s="94" t="s">
        <v>179</v>
      </c>
      <c r="F10" s="106" t="s">
        <v>42</v>
      </c>
      <c r="G10" s="66"/>
      <c r="H10" s="66"/>
      <c r="I10" s="65"/>
      <c r="J10" s="91"/>
      <c r="L10" s="92"/>
      <c r="M10" s="202" t="s">
        <v>327</v>
      </c>
      <c r="N10" s="203"/>
      <c r="O10" s="203"/>
      <c r="P10" s="94" t="s">
        <v>179</v>
      </c>
      <c r="Q10" s="106" t="s">
        <v>12</v>
      </c>
      <c r="R10" s="66"/>
      <c r="S10" s="66"/>
      <c r="T10" s="65"/>
      <c r="U10" s="91"/>
      <c r="W10" s="92"/>
      <c r="X10" s="207"/>
      <c r="Y10" s="208"/>
      <c r="Z10" s="208"/>
      <c r="AA10" s="95" t="s">
        <v>179</v>
      </c>
      <c r="AB10" s="107"/>
      <c r="AC10" s="66"/>
      <c r="AD10" s="66"/>
      <c r="AE10" s="65"/>
      <c r="AF10" s="91"/>
      <c r="AJ10" s="123" t="str">
        <f t="shared" si="0"/>
        <v/>
      </c>
      <c r="AK10" s="126" t="str">
        <f>'Champions League. Group Stage'!K17</f>
        <v>Galatasaray</v>
      </c>
      <c r="AN10" s="127" t="str">
        <f t="shared" si="1"/>
        <v/>
      </c>
      <c r="AQ10" s="128" t="str">
        <f>IF(AR7=1,"",M28)</f>
        <v/>
      </c>
    </row>
    <row r="11" spans="1:46" ht="16.5" customHeight="1" x14ac:dyDescent="0.2">
      <c r="A11" s="92"/>
      <c r="B11" s="202" t="s">
        <v>45</v>
      </c>
      <c r="C11" s="203"/>
      <c r="D11" s="203"/>
      <c r="E11" s="94" t="s">
        <v>179</v>
      </c>
      <c r="F11" s="106" t="s">
        <v>9</v>
      </c>
      <c r="G11" s="66"/>
      <c r="H11" s="66"/>
      <c r="I11" s="65"/>
      <c r="J11" s="91"/>
      <c r="L11" s="92"/>
      <c r="M11" s="202" t="s">
        <v>9</v>
      </c>
      <c r="N11" s="203"/>
      <c r="O11" s="203"/>
      <c r="P11" s="94" t="s">
        <v>179</v>
      </c>
      <c r="Q11" s="106" t="s">
        <v>41</v>
      </c>
      <c r="R11" s="66"/>
      <c r="S11" s="66"/>
      <c r="T11" s="65"/>
      <c r="U11" s="91"/>
      <c r="W11" s="92"/>
      <c r="X11" s="66"/>
      <c r="Y11" s="66"/>
      <c r="Z11" s="66"/>
      <c r="AA11" s="66"/>
      <c r="AB11" s="66"/>
      <c r="AC11" s="66"/>
      <c r="AD11" s="66"/>
      <c r="AE11" s="65"/>
      <c r="AF11" s="91"/>
      <c r="AJ11" s="123" t="str">
        <f t="shared" si="0"/>
        <v/>
      </c>
      <c r="AK11" s="126" t="str">
        <f>'Champions League. Group Stage'!K23</f>
        <v>PSG</v>
      </c>
      <c r="AN11" s="127" t="str">
        <f t="shared" si="1"/>
        <v/>
      </c>
    </row>
    <row r="12" spans="1:46" ht="16.5" customHeight="1" x14ac:dyDescent="0.2">
      <c r="A12" s="92"/>
      <c r="B12" s="202" t="s">
        <v>327</v>
      </c>
      <c r="C12" s="203"/>
      <c r="D12" s="203"/>
      <c r="E12" s="94" t="s">
        <v>179</v>
      </c>
      <c r="F12" s="106" t="s">
        <v>326</v>
      </c>
      <c r="G12" s="66"/>
      <c r="H12" s="66"/>
      <c r="I12" s="65"/>
      <c r="J12" s="91"/>
      <c r="L12" s="92"/>
      <c r="M12" s="207" t="s">
        <v>46</v>
      </c>
      <c r="N12" s="208"/>
      <c r="O12" s="208"/>
      <c r="P12" s="95" t="s">
        <v>179</v>
      </c>
      <c r="Q12" s="107" t="s">
        <v>338</v>
      </c>
      <c r="R12" s="66"/>
      <c r="S12" s="66"/>
      <c r="T12" s="65"/>
      <c r="U12" s="91"/>
      <c r="W12" s="92"/>
      <c r="X12" s="244" t="str">
        <f>INDEX(T,12,langID)</f>
        <v>Date</v>
      </c>
      <c r="Y12" s="245"/>
      <c r="Z12" s="245"/>
      <c r="AA12" s="245"/>
      <c r="AB12" s="54" t="str">
        <f>INDEX(T,13,langID)</f>
        <v>Home</v>
      </c>
      <c r="AC12" s="53"/>
      <c r="AD12" s="53"/>
      <c r="AE12" s="55" t="str">
        <f>INDEX(T,14,langID)</f>
        <v>Away</v>
      </c>
      <c r="AF12" s="91"/>
      <c r="AJ12" s="123" t="str">
        <f t="shared" si="0"/>
        <v/>
      </c>
      <c r="AK12" s="126" t="str">
        <f>'Champions League. Group Stage'!K24</f>
        <v>Olympiacos</v>
      </c>
      <c r="AN12" s="127" t="str">
        <f t="shared" si="1"/>
        <v/>
      </c>
    </row>
    <row r="13" spans="1:46" ht="16.5" customHeight="1" x14ac:dyDescent="0.2">
      <c r="A13" s="92"/>
      <c r="B13" s="202" t="s">
        <v>342</v>
      </c>
      <c r="C13" s="203"/>
      <c r="D13" s="203"/>
      <c r="E13" s="94" t="s">
        <v>179</v>
      </c>
      <c r="F13" s="106" t="s">
        <v>41</v>
      </c>
      <c r="G13" s="66"/>
      <c r="H13" s="66"/>
      <c r="I13" s="65"/>
      <c r="J13" s="91"/>
      <c r="L13" s="92"/>
      <c r="M13" s="66"/>
      <c r="N13" s="66"/>
      <c r="O13" s="66"/>
      <c r="P13" s="66"/>
      <c r="Q13" s="66"/>
      <c r="R13" s="66"/>
      <c r="S13" s="66"/>
      <c r="T13" s="65"/>
      <c r="U13" s="91"/>
      <c r="W13" s="92"/>
      <c r="X13" s="38" t="str">
        <f>INDEX(T,18,langID)</f>
        <v>Apr</v>
      </c>
      <c r="Y13" s="39">
        <v>20</v>
      </c>
      <c r="Z13" s="39">
        <v>2010</v>
      </c>
      <c r="AA13" s="40">
        <v>0.86458333333333337</v>
      </c>
      <c r="AB13" s="47" t="str">
        <f>IF(X9="","",X9)</f>
        <v/>
      </c>
      <c r="AC13" s="110"/>
      <c r="AD13" s="110"/>
      <c r="AE13" s="50" t="str">
        <f>IF(AB9="","",AB9)</f>
        <v/>
      </c>
      <c r="AF13" s="91"/>
      <c r="AJ13" s="123" t="str">
        <f t="shared" si="0"/>
        <v/>
      </c>
      <c r="AK13" s="126" t="str">
        <f>'Champions League. Group Stage'!K30</f>
        <v>Bayern München</v>
      </c>
      <c r="AN13" s="127" t="str">
        <f t="shared" si="1"/>
        <v/>
      </c>
      <c r="AR13" s="129" t="str">
        <f>IF(AC13="","",IF(AD13="","",IF(AC13&gt;AD13,AB13,IF(AC13&lt;AD13,AE13,"draw"))))</f>
        <v/>
      </c>
    </row>
    <row r="14" spans="1:46" ht="16.5" customHeight="1" thickBot="1" x14ac:dyDescent="0.25">
      <c r="A14" s="92"/>
      <c r="B14" s="202" t="s">
        <v>346</v>
      </c>
      <c r="C14" s="203"/>
      <c r="D14" s="203"/>
      <c r="E14" s="94" t="s">
        <v>179</v>
      </c>
      <c r="F14" s="106" t="s">
        <v>324</v>
      </c>
      <c r="G14" s="66"/>
      <c r="H14" s="66"/>
      <c r="I14" s="65"/>
      <c r="J14" s="91"/>
      <c r="L14" s="92"/>
      <c r="M14" s="244" t="str">
        <f>INDEX(T,12,langID)</f>
        <v>Date</v>
      </c>
      <c r="N14" s="245"/>
      <c r="O14" s="245"/>
      <c r="P14" s="245"/>
      <c r="Q14" s="54" t="str">
        <f>INDEX(T,13,langID)</f>
        <v>Home</v>
      </c>
      <c r="R14" s="53"/>
      <c r="S14" s="53"/>
      <c r="T14" s="55" t="str">
        <f>INDEX(T,14,langID)</f>
        <v>Away</v>
      </c>
      <c r="U14" s="91"/>
      <c r="W14" s="92"/>
      <c r="X14" s="28" t="str">
        <f>INDEX(T,18,langID)</f>
        <v>Apr</v>
      </c>
      <c r="Y14" s="29">
        <v>21</v>
      </c>
      <c r="Z14" s="29">
        <v>2010</v>
      </c>
      <c r="AA14" s="30">
        <v>0.86458333333333337</v>
      </c>
      <c r="AB14" s="48" t="str">
        <f>IF(X10="","",X10)</f>
        <v/>
      </c>
      <c r="AC14" s="110"/>
      <c r="AD14" s="110"/>
      <c r="AE14" s="51" t="str">
        <f>IF(AB10="","",AB10)</f>
        <v/>
      </c>
      <c r="AF14" s="91"/>
      <c r="AJ14" s="123" t="str">
        <f t="shared" si="0"/>
        <v/>
      </c>
      <c r="AK14" s="126" t="str">
        <f>'Champions League. Group Stage'!K31</f>
        <v>Manchester City</v>
      </c>
      <c r="AN14" s="128" t="str">
        <f t="shared" si="1"/>
        <v/>
      </c>
      <c r="AR14" s="129" t="str">
        <f>IF(AC14="","",IF(AD14="","",IF(AC14&gt;AD14,AB14,IF(AC14&lt;AD14,AE14,"draw"))))</f>
        <v/>
      </c>
    </row>
    <row r="15" spans="1:46" ht="16.5" customHeight="1" x14ac:dyDescent="0.2">
      <c r="A15" s="92"/>
      <c r="B15" s="202" t="s">
        <v>338</v>
      </c>
      <c r="C15" s="203"/>
      <c r="D15" s="203"/>
      <c r="E15" s="94" t="s">
        <v>179</v>
      </c>
      <c r="F15" s="106" t="s">
        <v>344</v>
      </c>
      <c r="G15" s="66"/>
      <c r="H15" s="66"/>
      <c r="I15" s="65"/>
      <c r="J15" s="91"/>
      <c r="L15" s="92"/>
      <c r="M15" s="38" t="str">
        <f>INDEX(T,17,langID)</f>
        <v>Mar</v>
      </c>
      <c r="N15" s="39">
        <v>30</v>
      </c>
      <c r="O15" s="39">
        <v>2010</v>
      </c>
      <c r="P15" s="40">
        <v>0.86458333333333337</v>
      </c>
      <c r="Q15" s="47" t="str">
        <f>IF(M9="","",M9)</f>
        <v>Lyon</v>
      </c>
      <c r="R15" s="110"/>
      <c r="S15" s="110"/>
      <c r="T15" s="50" t="str">
        <f>IF(Q9="","",Q9)</f>
        <v>Bordeaux</v>
      </c>
      <c r="U15" s="91"/>
      <c r="W15" s="92"/>
      <c r="X15" s="28" t="str">
        <f>INDEX(T,18,langID)</f>
        <v>Apr</v>
      </c>
      <c r="Y15" s="29">
        <v>27</v>
      </c>
      <c r="Z15" s="29">
        <v>2010</v>
      </c>
      <c r="AA15" s="30">
        <v>0.86458333333333337</v>
      </c>
      <c r="AB15" s="48" t="str">
        <f>AE14</f>
        <v/>
      </c>
      <c r="AC15" s="110"/>
      <c r="AD15" s="110"/>
      <c r="AE15" s="51" t="str">
        <f>AB14</f>
        <v/>
      </c>
      <c r="AF15" s="91"/>
      <c r="AJ15" s="123" t="str">
        <f t="shared" si="0"/>
        <v/>
      </c>
      <c r="AK15" s="126" t="str">
        <f>'Champions League. Group Stage'!K37</f>
        <v>Chelsea</v>
      </c>
      <c r="AO15" s="129" t="str">
        <f>IF(R15="","",IF(S15="","",IF(R15&gt;S15,Q15,IF(R15&lt;S15,T15,"draw"))))</f>
        <v/>
      </c>
      <c r="AR15" s="129" t="str">
        <f>IF(AC15="","",IF(AD15="","",IF(AC15&gt;AD15,AB15,IF(AC15&lt;AD15,AE15,"draw"))))</f>
        <v/>
      </c>
    </row>
    <row r="16" spans="1:46" ht="16.5" customHeight="1" x14ac:dyDescent="0.2">
      <c r="A16" s="92"/>
      <c r="B16" s="207" t="s">
        <v>46</v>
      </c>
      <c r="C16" s="208"/>
      <c r="D16" s="208"/>
      <c r="E16" s="95" t="s">
        <v>179</v>
      </c>
      <c r="F16" s="107" t="s">
        <v>10</v>
      </c>
      <c r="G16" s="66"/>
      <c r="H16" s="66"/>
      <c r="I16" s="65"/>
      <c r="J16" s="91"/>
      <c r="L16" s="92"/>
      <c r="M16" s="28" t="str">
        <f>INDEX(T,17,langID)</f>
        <v>Mar</v>
      </c>
      <c r="N16" s="29">
        <v>30</v>
      </c>
      <c r="O16" s="29">
        <v>2010</v>
      </c>
      <c r="P16" s="30">
        <v>0.86458333333333337</v>
      </c>
      <c r="Q16" s="48" t="str">
        <f>IF(M10="","",M10)</f>
        <v>Bayern</v>
      </c>
      <c r="R16" s="110"/>
      <c r="S16" s="110"/>
      <c r="T16" s="51" t="str">
        <f>IF(Q10="","",Q10)</f>
        <v>Man. United</v>
      </c>
      <c r="U16" s="91"/>
      <c r="W16" s="92"/>
      <c r="X16" s="35" t="str">
        <f>INDEX(T,18,langID)</f>
        <v>Apr</v>
      </c>
      <c r="Y16" s="36">
        <v>28</v>
      </c>
      <c r="Z16" s="36">
        <v>2010</v>
      </c>
      <c r="AA16" s="37">
        <v>0.86458333333333337</v>
      </c>
      <c r="AB16" s="49" t="str">
        <f>AE13</f>
        <v/>
      </c>
      <c r="AC16" s="110"/>
      <c r="AD16" s="110"/>
      <c r="AE16" s="52" t="str">
        <f>AB13</f>
        <v/>
      </c>
      <c r="AF16" s="91"/>
      <c r="AJ16" s="123" t="str">
        <f t="shared" si="0"/>
        <v/>
      </c>
      <c r="AK16" s="126" t="str">
        <f>'Champions League. Group Stage'!K38</f>
        <v>Schalke</v>
      </c>
      <c r="AO16" s="129" t="str">
        <f t="shared" ref="AO16:AO22" si="2">IF(R16="","",IF(S16="","",IF(R16&gt;S16,Q16,IF(R16&lt;S16,T16,"draw"))))</f>
        <v/>
      </c>
      <c r="AR16" s="129" t="str">
        <f>IF(AC16="","",IF(AD16="","",IF(AC16&gt;AD16,AB16,IF(AC16&lt;AD16,AE16,"draw"))))</f>
        <v/>
      </c>
    </row>
    <row r="17" spans="1:44" ht="16.5" customHeight="1" x14ac:dyDescent="0.2">
      <c r="A17" s="92"/>
      <c r="B17" s="67"/>
      <c r="C17" s="68"/>
      <c r="D17" s="68"/>
      <c r="E17" s="67"/>
      <c r="F17" s="69"/>
      <c r="G17" s="66"/>
      <c r="H17" s="66"/>
      <c r="I17" s="65"/>
      <c r="J17" s="91"/>
      <c r="L17" s="92"/>
      <c r="M17" s="28" t="str">
        <f>INDEX(T,17,langID)</f>
        <v>Mar</v>
      </c>
      <c r="N17" s="29">
        <v>31</v>
      </c>
      <c r="O17" s="29">
        <v>2010</v>
      </c>
      <c r="P17" s="30">
        <v>0.86458333333333337</v>
      </c>
      <c r="Q17" s="48" t="str">
        <f>IF(M11="","",M11)</f>
        <v>Arsenal</v>
      </c>
      <c r="R17" s="110"/>
      <c r="S17" s="110"/>
      <c r="T17" s="51" t="str">
        <f>IF(Q11="","",Q11)</f>
        <v>Barcelona</v>
      </c>
      <c r="U17" s="91"/>
      <c r="W17" s="92"/>
      <c r="X17" s="67"/>
      <c r="Y17" s="68"/>
      <c r="Z17" s="68"/>
      <c r="AA17" s="67"/>
      <c r="AB17" s="69"/>
      <c r="AC17" s="66"/>
      <c r="AD17" s="66"/>
      <c r="AE17" s="65"/>
      <c r="AF17" s="91"/>
      <c r="AJ17" s="123" t="str">
        <f t="shared" si="0"/>
        <v/>
      </c>
      <c r="AK17" s="126" t="str">
        <f>'Champions League. Group Stage'!K44</f>
        <v>Arsenal</v>
      </c>
      <c r="AO17" s="129" t="str">
        <f t="shared" si="2"/>
        <v/>
      </c>
    </row>
    <row r="18" spans="1:44" ht="16.5" customHeight="1" x14ac:dyDescent="0.2">
      <c r="A18" s="92"/>
      <c r="B18" s="244" t="str">
        <f>INDEX(T,12,langID)</f>
        <v>Date</v>
      </c>
      <c r="C18" s="245"/>
      <c r="D18" s="245"/>
      <c r="E18" s="245"/>
      <c r="F18" s="54" t="str">
        <f>INDEX(T,13,langID)</f>
        <v>Home</v>
      </c>
      <c r="G18" s="53"/>
      <c r="H18" s="53"/>
      <c r="I18" s="55" t="str">
        <f>INDEX(T,14,langID)</f>
        <v>Away</v>
      </c>
      <c r="J18" s="91"/>
      <c r="L18" s="92"/>
      <c r="M18" s="28" t="str">
        <f>INDEX(T,17,langID)</f>
        <v>Mar</v>
      </c>
      <c r="N18" s="29">
        <v>31</v>
      </c>
      <c r="O18" s="29">
        <v>2010</v>
      </c>
      <c r="P18" s="30">
        <v>0.86458333333333337</v>
      </c>
      <c r="Q18" s="48" t="str">
        <f>IF(M12="","",M12)</f>
        <v>Internazionale</v>
      </c>
      <c r="R18" s="110"/>
      <c r="S18" s="110"/>
      <c r="T18" s="51" t="str">
        <f>IF(Q12="","",Q12)</f>
        <v>CSKA Moskva</v>
      </c>
      <c r="U18" s="91"/>
      <c r="W18" s="92"/>
      <c r="X18" s="231" t="s">
        <v>178</v>
      </c>
      <c r="Y18" s="232"/>
      <c r="Z18" s="232"/>
      <c r="AA18" s="232"/>
      <c r="AB18" s="233"/>
      <c r="AC18" s="66"/>
      <c r="AD18" s="66"/>
      <c r="AE18" s="65"/>
      <c r="AF18" s="91"/>
      <c r="AJ18" s="123" t="str">
        <f t="shared" si="0"/>
        <v/>
      </c>
      <c r="AK18" s="126" t="str">
        <f>'Champions League. Group Stage'!K45</f>
        <v>Napoli</v>
      </c>
      <c r="AO18" s="129" t="str">
        <f t="shared" si="2"/>
        <v/>
      </c>
    </row>
    <row r="19" spans="1:44" ht="16.5" customHeight="1" x14ac:dyDescent="0.2">
      <c r="A19" s="92"/>
      <c r="B19" s="38" t="str">
        <f t="shared" ref="B19:B26" si="3">INDEX(T,16,langID)</f>
        <v>Feb</v>
      </c>
      <c r="C19" s="39">
        <v>16</v>
      </c>
      <c r="D19" s="39">
        <v>2010</v>
      </c>
      <c r="E19" s="40">
        <v>0.86458333333333337</v>
      </c>
      <c r="F19" s="47" t="str">
        <f>IF(B9="","",B9)</f>
        <v>Milan</v>
      </c>
      <c r="G19" s="110"/>
      <c r="H19" s="110"/>
      <c r="I19" s="50" t="str">
        <f>IF(F9="","",F9)</f>
        <v>Man. United</v>
      </c>
      <c r="J19" s="91"/>
      <c r="L19" s="92"/>
      <c r="M19" s="28" t="str">
        <f>INDEX(T,18,langID)</f>
        <v>Apr</v>
      </c>
      <c r="N19" s="29">
        <v>6</v>
      </c>
      <c r="O19" s="29">
        <v>2010</v>
      </c>
      <c r="P19" s="30">
        <v>0.86458333333333337</v>
      </c>
      <c r="Q19" s="48" t="str">
        <f>T17</f>
        <v>Barcelona</v>
      </c>
      <c r="R19" s="110"/>
      <c r="S19" s="110"/>
      <c r="T19" s="51" t="str">
        <f>Q17</f>
        <v>Arsenal</v>
      </c>
      <c r="U19" s="91"/>
      <c r="W19" s="92"/>
      <c r="X19" s="241" t="str">
        <f>IF(AR19="",INDEX(T,72,langID),IF(AC13+AD16&gt;AD13+AC16,X9,IF(AC13+AD16&lt;AD13+AC16,AB9,IF(AD13&gt;AD16,AE13,IF(AD13&lt;AD16,AE16,INDEX(T,72,langID))))))</f>
        <v>Semi Final 1 Winner</v>
      </c>
      <c r="Y19" s="242"/>
      <c r="Z19" s="242"/>
      <c r="AA19" s="242"/>
      <c r="AB19" s="243"/>
      <c r="AC19" s="66"/>
      <c r="AD19" s="66"/>
      <c r="AE19" s="65"/>
      <c r="AF19" s="91"/>
      <c r="AJ19" s="123" t="str">
        <f t="shared" si="0"/>
        <v/>
      </c>
      <c r="AK19" s="126" t="str">
        <f>'Champions League. Group Stage'!K51</f>
        <v>Atlético de Madrid</v>
      </c>
      <c r="AL19" s="129" t="str">
        <f t="shared" ref="AL19:AL34" si="4">IF(G19="","",IF(H19="","",IF(G19&gt;H19,F19,IF(G19&lt;H19,I19,"draw"))))</f>
        <v/>
      </c>
      <c r="AO19" s="129" t="str">
        <f t="shared" si="2"/>
        <v/>
      </c>
      <c r="AR19" s="129" t="str">
        <f>IF(AR13="","",IF(AR16="","","1"))</f>
        <v/>
      </c>
    </row>
    <row r="20" spans="1:44" ht="16.5" customHeight="1" x14ac:dyDescent="0.2">
      <c r="A20" s="92"/>
      <c r="B20" s="28" t="str">
        <f t="shared" si="3"/>
        <v>Feb</v>
      </c>
      <c r="C20" s="29">
        <v>16</v>
      </c>
      <c r="D20" s="29">
        <v>2010</v>
      </c>
      <c r="E20" s="30">
        <v>0.86458333333333337</v>
      </c>
      <c r="F20" s="48" t="str">
        <f>IF(B10="","",B10)</f>
        <v>Lyon</v>
      </c>
      <c r="G20" s="110"/>
      <c r="H20" s="110"/>
      <c r="I20" s="51" t="str">
        <f>IF(F10="","",F10)</f>
        <v>Real Madrid</v>
      </c>
      <c r="J20" s="91"/>
      <c r="L20" s="92"/>
      <c r="M20" s="28" t="str">
        <f>INDEX(T,18,langID)</f>
        <v>Apr</v>
      </c>
      <c r="N20" s="29">
        <v>6</v>
      </c>
      <c r="O20" s="29">
        <v>2010</v>
      </c>
      <c r="P20" s="30">
        <v>0.86458333333333337</v>
      </c>
      <c r="Q20" s="48" t="str">
        <f>T18</f>
        <v>CSKA Moskva</v>
      </c>
      <c r="R20" s="110"/>
      <c r="S20" s="110"/>
      <c r="T20" s="51" t="str">
        <f>Q18</f>
        <v>Internazionale</v>
      </c>
      <c r="U20" s="91"/>
      <c r="W20" s="92"/>
      <c r="X20" s="220" t="str">
        <f>IF(AR20="",INDEX(T,73,langID),IF(AC14+AD15&gt;AD14+AC15,X10,IF(AC14+AD15&lt;AD14+AC15,AB10,IF(AD14&gt;AD15,AE14,IF(AD14&lt;AD15,AE15,INDEX(T,73,langID))))))</f>
        <v>Semi Final 2 Winner</v>
      </c>
      <c r="Y20" s="221"/>
      <c r="Z20" s="221"/>
      <c r="AA20" s="221"/>
      <c r="AB20" s="222"/>
      <c r="AC20" s="66"/>
      <c r="AD20" s="66"/>
      <c r="AE20" s="65"/>
      <c r="AF20" s="91"/>
      <c r="AJ20" s="123" t="str">
        <f t="shared" si="0"/>
        <v/>
      </c>
      <c r="AK20" s="126" t="str">
        <f>'Champions League. Group Stage'!K52</f>
        <v>Zenit</v>
      </c>
      <c r="AL20" s="129" t="str">
        <f t="shared" si="4"/>
        <v/>
      </c>
      <c r="AO20" s="129" t="str">
        <f t="shared" si="2"/>
        <v/>
      </c>
      <c r="AR20" s="129" t="str">
        <f>IF(AR14="","",IF(AR15="","","1"))</f>
        <v/>
      </c>
    </row>
    <row r="21" spans="1:44" ht="16.5" customHeight="1" thickBot="1" x14ac:dyDescent="0.25">
      <c r="A21" s="92"/>
      <c r="B21" s="28" t="str">
        <f t="shared" si="3"/>
        <v>Feb</v>
      </c>
      <c r="C21" s="29">
        <v>17</v>
      </c>
      <c r="D21" s="29">
        <v>2010</v>
      </c>
      <c r="E21" s="30">
        <v>0.86458333333333337</v>
      </c>
      <c r="F21" s="48" t="str">
        <f t="shared" ref="F21:F26" si="5">IF(B11="","",B11)</f>
        <v>Porto</v>
      </c>
      <c r="G21" s="110"/>
      <c r="H21" s="110"/>
      <c r="I21" s="51" t="str">
        <f t="shared" ref="I21:I26" si="6">IF(F11="","",F11)</f>
        <v>Arsenal</v>
      </c>
      <c r="J21" s="91"/>
      <c r="L21" s="92"/>
      <c r="M21" s="28" t="str">
        <f>INDEX(T,18,langID)</f>
        <v>Apr</v>
      </c>
      <c r="N21" s="29">
        <v>7</v>
      </c>
      <c r="O21" s="29">
        <v>2010</v>
      </c>
      <c r="P21" s="30">
        <v>0.86458333333333337</v>
      </c>
      <c r="Q21" s="48" t="str">
        <f>T15</f>
        <v>Bordeaux</v>
      </c>
      <c r="R21" s="110"/>
      <c r="S21" s="110"/>
      <c r="T21" s="51" t="str">
        <f>Q15</f>
        <v>Lyon</v>
      </c>
      <c r="U21" s="91"/>
      <c r="W21" s="96"/>
      <c r="X21" s="70"/>
      <c r="Y21" s="71"/>
      <c r="Z21" s="71"/>
      <c r="AA21" s="70"/>
      <c r="AB21" s="72"/>
      <c r="AC21" s="73"/>
      <c r="AD21" s="73"/>
      <c r="AE21" s="74"/>
      <c r="AF21" s="97"/>
      <c r="AJ21" s="123" t="str">
        <f t="shared" si="0"/>
        <v/>
      </c>
      <c r="AK21" s="126" t="str">
        <f>'Champions League. Group Stage'!K58</f>
        <v>Barcelona</v>
      </c>
      <c r="AL21" s="129" t="str">
        <f t="shared" si="4"/>
        <v/>
      </c>
      <c r="AO21" s="129" t="str">
        <f t="shared" si="2"/>
        <v/>
      </c>
    </row>
    <row r="22" spans="1:44" ht="16.5" customHeight="1" thickBot="1" x14ac:dyDescent="0.25">
      <c r="A22" s="92"/>
      <c r="B22" s="28" t="str">
        <f t="shared" si="3"/>
        <v>Feb</v>
      </c>
      <c r="C22" s="29">
        <v>17</v>
      </c>
      <c r="D22" s="29">
        <v>2010</v>
      </c>
      <c r="E22" s="30">
        <v>0.86458333333333337</v>
      </c>
      <c r="F22" s="48" t="str">
        <f t="shared" si="5"/>
        <v>Bayern</v>
      </c>
      <c r="G22" s="110"/>
      <c r="H22" s="110"/>
      <c r="I22" s="51" t="str">
        <f t="shared" si="6"/>
        <v>Fiorentina</v>
      </c>
      <c r="J22" s="91"/>
      <c r="L22" s="92"/>
      <c r="M22" s="35" t="str">
        <f>INDEX(T,18,langID)</f>
        <v>Apr</v>
      </c>
      <c r="N22" s="36">
        <v>7</v>
      </c>
      <c r="O22" s="36">
        <v>2010</v>
      </c>
      <c r="P22" s="37">
        <v>0.86458333333333337</v>
      </c>
      <c r="Q22" s="49" t="str">
        <f>T16</f>
        <v>Man. United</v>
      </c>
      <c r="R22" s="110"/>
      <c r="S22" s="110"/>
      <c r="T22" s="52" t="str">
        <f>Q16</f>
        <v>Bayern</v>
      </c>
      <c r="U22" s="91"/>
      <c r="AJ22" s="130" t="str">
        <f t="shared" si="0"/>
        <v/>
      </c>
      <c r="AK22" s="131" t="str">
        <f>'Champions League. Group Stage'!K59</f>
        <v>Milan</v>
      </c>
      <c r="AL22" s="129" t="str">
        <f t="shared" si="4"/>
        <v/>
      </c>
      <c r="AO22" s="129" t="str">
        <f t="shared" si="2"/>
        <v/>
      </c>
    </row>
    <row r="23" spans="1:44" ht="16.5" customHeight="1" x14ac:dyDescent="0.2">
      <c r="A23" s="92"/>
      <c r="B23" s="28" t="str">
        <f t="shared" si="3"/>
        <v>Feb</v>
      </c>
      <c r="C23" s="29">
        <v>23</v>
      </c>
      <c r="D23" s="29">
        <v>2010</v>
      </c>
      <c r="E23" s="30">
        <v>0.86458333333333337</v>
      </c>
      <c r="F23" s="48" t="str">
        <f t="shared" si="5"/>
        <v>Stuttgart</v>
      </c>
      <c r="G23" s="110"/>
      <c r="H23" s="110"/>
      <c r="I23" s="51" t="str">
        <f t="shared" si="6"/>
        <v>Barcelona</v>
      </c>
      <c r="J23" s="91"/>
      <c r="L23" s="92"/>
      <c r="M23" s="67"/>
      <c r="N23" s="68"/>
      <c r="O23" s="68"/>
      <c r="P23" s="67"/>
      <c r="Q23" s="69"/>
      <c r="R23" s="66"/>
      <c r="S23" s="66"/>
      <c r="T23" s="65"/>
      <c r="U23" s="91"/>
      <c r="Y23" s="3"/>
      <c r="Z23" s="3"/>
      <c r="AB23" s="3"/>
      <c r="AC23" s="3"/>
      <c r="AD23" s="3"/>
      <c r="AE23" s="3"/>
      <c r="AF23" s="3"/>
      <c r="AL23" s="129" t="str">
        <f t="shared" si="4"/>
        <v/>
      </c>
    </row>
    <row r="24" spans="1:44" ht="16.5" customHeight="1" x14ac:dyDescent="0.2">
      <c r="A24" s="92"/>
      <c r="B24" s="28" t="str">
        <f t="shared" si="3"/>
        <v>Feb</v>
      </c>
      <c r="C24" s="29">
        <v>23</v>
      </c>
      <c r="D24" s="29">
        <v>2010</v>
      </c>
      <c r="E24" s="30">
        <v>0.86458333333333337</v>
      </c>
      <c r="F24" s="48" t="str">
        <f t="shared" si="5"/>
        <v>Olympiacos</v>
      </c>
      <c r="G24" s="110"/>
      <c r="H24" s="110"/>
      <c r="I24" s="51" t="str">
        <f t="shared" si="6"/>
        <v>Bordeaux</v>
      </c>
      <c r="J24" s="91"/>
      <c r="L24" s="92"/>
      <c r="M24" s="231" t="s">
        <v>178</v>
      </c>
      <c r="N24" s="232"/>
      <c r="O24" s="232"/>
      <c r="P24" s="232"/>
      <c r="Q24" s="233"/>
      <c r="R24" s="66"/>
      <c r="S24" s="66"/>
      <c r="T24" s="65"/>
      <c r="U24" s="91"/>
      <c r="Y24" s="3"/>
      <c r="Z24" s="252" t="s">
        <v>349</v>
      </c>
      <c r="AA24" s="252"/>
      <c r="AB24" s="252"/>
      <c r="AC24" s="252"/>
      <c r="AD24" s="252"/>
      <c r="AE24" s="3"/>
      <c r="AF24" s="3"/>
      <c r="AL24" s="129" t="str">
        <f t="shared" si="4"/>
        <v/>
      </c>
    </row>
    <row r="25" spans="1:44" ht="16.5" customHeight="1" x14ac:dyDescent="0.2">
      <c r="A25" s="92"/>
      <c r="B25" s="28" t="str">
        <f t="shared" si="3"/>
        <v>Feb</v>
      </c>
      <c r="C25" s="29">
        <v>24</v>
      </c>
      <c r="D25" s="29">
        <v>2010</v>
      </c>
      <c r="E25" s="30">
        <v>0.86458333333333337</v>
      </c>
      <c r="F25" s="48" t="str">
        <f t="shared" si="5"/>
        <v>CSKA Moskva</v>
      </c>
      <c r="G25" s="110"/>
      <c r="H25" s="110"/>
      <c r="I25" s="51" t="str">
        <f t="shared" si="6"/>
        <v>Sevilla</v>
      </c>
      <c r="J25" s="91"/>
      <c r="L25" s="92"/>
      <c r="M25" s="209" t="str">
        <f>IF(AO25="",INDEX(T,68,langID),IF(R15+S21&gt;S15+R21,M9,IF(R15+S21&lt;S15+R21,Q9,IF(S15&gt;S21,T15,IF(S15&lt;S21,T21,INDEX(T,68,langID))))))</f>
        <v>Quarter Final 1 Winner</v>
      </c>
      <c r="N25" s="210"/>
      <c r="O25" s="210"/>
      <c r="P25" s="210"/>
      <c r="Q25" s="211"/>
      <c r="R25" s="66"/>
      <c r="S25" s="66"/>
      <c r="T25" s="65"/>
      <c r="U25" s="91"/>
      <c r="Y25" s="3"/>
      <c r="Z25" s="252"/>
      <c r="AA25" s="252"/>
      <c r="AB25" s="252"/>
      <c r="AC25" s="252"/>
      <c r="AD25" s="252"/>
      <c r="AE25" s="3"/>
      <c r="AF25" s="3"/>
      <c r="AL25" s="129" t="str">
        <f t="shared" si="4"/>
        <v/>
      </c>
      <c r="AO25" s="129" t="str">
        <f>IF(AO15="","",IF(AO21="","","1/2"))</f>
        <v/>
      </c>
    </row>
    <row r="26" spans="1:44" ht="16.5" customHeight="1" x14ac:dyDescent="0.2">
      <c r="A26" s="92"/>
      <c r="B26" s="28" t="str">
        <f t="shared" si="3"/>
        <v>Feb</v>
      </c>
      <c r="C26" s="29">
        <v>24</v>
      </c>
      <c r="D26" s="29">
        <v>2010</v>
      </c>
      <c r="E26" s="30">
        <v>0.86458333333333337</v>
      </c>
      <c r="F26" s="48" t="str">
        <f t="shared" si="5"/>
        <v>Internazionale</v>
      </c>
      <c r="G26" s="110"/>
      <c r="H26" s="110"/>
      <c r="I26" s="51" t="str">
        <f t="shared" si="6"/>
        <v>Chelsea</v>
      </c>
      <c r="J26" s="91"/>
      <c r="L26" s="92"/>
      <c r="M26" s="209" t="str">
        <f>IF(AO26="",INDEX(T,69,langID),IF(R16+S22&gt;S16+R22,M10,IF(R16+S22&lt;S16+R22,Q10,IF(S16&gt;S22,T16,IF(S16&lt;S22,T22,INDEX(T,69,langID))))))</f>
        <v>Quarter Final 2 Winner</v>
      </c>
      <c r="N26" s="210"/>
      <c r="O26" s="210"/>
      <c r="P26" s="210"/>
      <c r="Q26" s="211"/>
      <c r="R26" s="66"/>
      <c r="S26" s="66"/>
      <c r="T26" s="65"/>
      <c r="U26" s="91"/>
      <c r="Y26" s="3"/>
      <c r="Z26" s="252"/>
      <c r="AA26" s="252"/>
      <c r="AB26" s="252"/>
      <c r="AC26" s="252"/>
      <c r="AD26" s="252"/>
      <c r="AE26" s="3"/>
      <c r="AF26" s="3"/>
      <c r="AL26" s="129" t="str">
        <f t="shared" si="4"/>
        <v/>
      </c>
      <c r="AO26" s="129" t="str">
        <f>IF(AO16="","",IF(AO22="","","1/2"))</f>
        <v/>
      </c>
    </row>
    <row r="27" spans="1:44" ht="16.5" customHeight="1" x14ac:dyDescent="0.2">
      <c r="A27" s="92"/>
      <c r="B27" s="28" t="str">
        <f t="shared" ref="B27:B34" si="7">INDEX(T,17,langID)</f>
        <v>Mar</v>
      </c>
      <c r="C27" s="29">
        <v>9</v>
      </c>
      <c r="D27" s="29">
        <v>2010</v>
      </c>
      <c r="E27" s="30">
        <v>0.86458333333333337</v>
      </c>
      <c r="F27" s="48" t="str">
        <f>IF(F11="","",F11)</f>
        <v>Arsenal</v>
      </c>
      <c r="G27" s="110"/>
      <c r="H27" s="110"/>
      <c r="I27" s="51" t="str">
        <f>IF(B11="","",B11)</f>
        <v>Porto</v>
      </c>
      <c r="J27" s="91"/>
      <c r="L27" s="92"/>
      <c r="M27" s="209" t="str">
        <f>IF(AO27="",INDEX(T,70,langID),IF(R17+S19&gt;S17+R19,M11,IF(R17+S19&lt;S17+R19,Q11,IF(S17&gt;S19,T17,IF(S17&lt;S19,T19,INDEX(T,70,langID))))))</f>
        <v>Quarter Final 3 Winner</v>
      </c>
      <c r="N27" s="210"/>
      <c r="O27" s="210"/>
      <c r="P27" s="210"/>
      <c r="Q27" s="211"/>
      <c r="R27" s="66"/>
      <c r="S27" s="66"/>
      <c r="T27" s="65"/>
      <c r="U27" s="91"/>
      <c r="Y27" s="3"/>
      <c r="Z27" s="3"/>
      <c r="AB27" s="3"/>
      <c r="AC27" s="3"/>
      <c r="AD27" s="3"/>
      <c r="AE27" s="3"/>
      <c r="AF27" s="3"/>
      <c r="AL27" s="129" t="str">
        <f t="shared" si="4"/>
        <v/>
      </c>
      <c r="AO27" s="129" t="str">
        <f>IF(AO17="","",IF(AO19="","","1/2"))</f>
        <v/>
      </c>
    </row>
    <row r="28" spans="1:44" ht="16.5" customHeight="1" x14ac:dyDescent="0.2">
      <c r="A28" s="92"/>
      <c r="B28" s="28" t="str">
        <f t="shared" si="7"/>
        <v>Mar</v>
      </c>
      <c r="C28" s="29">
        <v>9</v>
      </c>
      <c r="D28" s="29">
        <v>2010</v>
      </c>
      <c r="E28" s="30">
        <v>0.86458333333333337</v>
      </c>
      <c r="F28" s="48" t="str">
        <f>IF(F12="","",F12)</f>
        <v>Fiorentina</v>
      </c>
      <c r="G28" s="110"/>
      <c r="H28" s="110"/>
      <c r="I28" s="51" t="str">
        <f>IF(B12="","",B12)</f>
        <v>Bayern</v>
      </c>
      <c r="J28" s="91"/>
      <c r="L28" s="92"/>
      <c r="M28" s="220" t="str">
        <f>IF(AO28="",INDEX(T,71,langID),IF(R18+S20&gt;S18+R20,M12,IF(R18+S20&lt;S18+R20,Q12,IF(S18&gt;S20,T18,IF(S18&lt;S20,T20,INDEX(T,71,langID))))))</f>
        <v>Quarter Final 4 Winner</v>
      </c>
      <c r="N28" s="221"/>
      <c r="O28" s="221"/>
      <c r="P28" s="221"/>
      <c r="Q28" s="222"/>
      <c r="R28" s="66"/>
      <c r="S28" s="66"/>
      <c r="T28" s="65"/>
      <c r="U28" s="91"/>
      <c r="Y28" s="3"/>
      <c r="Z28" s="252" t="s">
        <v>350</v>
      </c>
      <c r="AA28" s="252"/>
      <c r="AB28" s="252"/>
      <c r="AC28" s="252"/>
      <c r="AD28" s="252"/>
      <c r="AE28" s="3"/>
      <c r="AF28" s="3"/>
      <c r="AL28" s="129" t="str">
        <f t="shared" si="4"/>
        <v/>
      </c>
      <c r="AO28" s="129" t="str">
        <f>IF(AO18="","",IF(AO20="","","1/2"))</f>
        <v/>
      </c>
    </row>
    <row r="29" spans="1:44" ht="16.5" customHeight="1" thickBot="1" x14ac:dyDescent="0.25">
      <c r="A29" s="92"/>
      <c r="B29" s="28" t="str">
        <f t="shared" si="7"/>
        <v>Mar</v>
      </c>
      <c r="C29" s="29">
        <v>10</v>
      </c>
      <c r="D29" s="29">
        <v>2010</v>
      </c>
      <c r="E29" s="30">
        <v>0.86458333333333337</v>
      </c>
      <c r="F29" s="48" t="str">
        <f>IF(F9="","",F9)</f>
        <v>Man. United</v>
      </c>
      <c r="G29" s="110"/>
      <c r="H29" s="110"/>
      <c r="I29" s="51" t="str">
        <f>IF(B9="","",B9)</f>
        <v>Milan</v>
      </c>
      <c r="J29" s="91"/>
      <c r="L29" s="96"/>
      <c r="M29" s="70"/>
      <c r="N29" s="71"/>
      <c r="O29" s="71"/>
      <c r="P29" s="70"/>
      <c r="Q29" s="72"/>
      <c r="R29" s="73"/>
      <c r="S29" s="73"/>
      <c r="T29" s="74"/>
      <c r="U29" s="97"/>
      <c r="Y29" s="3"/>
      <c r="Z29" s="252"/>
      <c r="AA29" s="252"/>
      <c r="AB29" s="252"/>
      <c r="AC29" s="252"/>
      <c r="AD29" s="252"/>
      <c r="AE29"/>
      <c r="AF29" s="3"/>
      <c r="AL29" s="129" t="str">
        <f t="shared" si="4"/>
        <v/>
      </c>
    </row>
    <row r="30" spans="1:44" ht="16.5" customHeight="1" x14ac:dyDescent="0.2">
      <c r="A30" s="92"/>
      <c r="B30" s="28" t="str">
        <f t="shared" si="7"/>
        <v>Mar</v>
      </c>
      <c r="C30" s="29">
        <v>10</v>
      </c>
      <c r="D30" s="29">
        <v>2010</v>
      </c>
      <c r="E30" s="30">
        <v>0.86458333333333337</v>
      </c>
      <c r="F30" s="48" t="str">
        <f>IF(F10="","",F10)</f>
        <v>Real Madrid</v>
      </c>
      <c r="G30" s="110"/>
      <c r="H30" s="110"/>
      <c r="I30" s="51" t="str">
        <f>IF(B10="","",B10)</f>
        <v>Lyon</v>
      </c>
      <c r="J30" s="91"/>
      <c r="Y30" s="3"/>
      <c r="Z30" s="252"/>
      <c r="AA30" s="252"/>
      <c r="AB30" s="252"/>
      <c r="AC30" s="252"/>
      <c r="AD30" s="252"/>
      <c r="AE30" s="3"/>
      <c r="AF30" s="3"/>
      <c r="AL30" s="129" t="str">
        <f t="shared" si="4"/>
        <v/>
      </c>
    </row>
    <row r="31" spans="1:44" ht="16.5" customHeight="1" x14ac:dyDescent="0.2">
      <c r="A31" s="92"/>
      <c r="B31" s="28" t="str">
        <f t="shared" si="7"/>
        <v>Mar</v>
      </c>
      <c r="C31" s="29">
        <v>16</v>
      </c>
      <c r="D31" s="29">
        <v>2010</v>
      </c>
      <c r="E31" s="30">
        <v>0.86458333333333337</v>
      </c>
      <c r="F31" s="48" t="str">
        <f>IF(F15="","",F15)</f>
        <v>Sevilla</v>
      </c>
      <c r="G31" s="110"/>
      <c r="H31" s="110"/>
      <c r="I31" s="51" t="str">
        <f>IF(B15="","",B15)</f>
        <v>CSKA Moskva</v>
      </c>
      <c r="J31" s="91"/>
      <c r="Y31" s="3"/>
      <c r="Z31" s="3"/>
      <c r="AB31" s="3"/>
      <c r="AC31" s="3"/>
      <c r="AD31" s="3"/>
      <c r="AE31" s="3"/>
      <c r="AF31" s="3"/>
      <c r="AL31" s="129" t="str">
        <f t="shared" si="4"/>
        <v/>
      </c>
    </row>
    <row r="32" spans="1:44" ht="16.5" customHeight="1" x14ac:dyDescent="0.2">
      <c r="A32" s="92"/>
      <c r="B32" s="28" t="str">
        <f t="shared" si="7"/>
        <v>Mar</v>
      </c>
      <c r="C32" s="29">
        <v>16</v>
      </c>
      <c r="D32" s="29">
        <v>2010</v>
      </c>
      <c r="E32" s="30">
        <v>0.86458333333333337</v>
      </c>
      <c r="F32" s="48" t="str">
        <f>IF(F16="","",F16)</f>
        <v>Chelsea</v>
      </c>
      <c r="G32" s="110"/>
      <c r="H32" s="110"/>
      <c r="I32" s="51" t="str">
        <f>IF(B16="","",B16)</f>
        <v>Internazionale</v>
      </c>
      <c r="J32" s="91"/>
      <c r="AL32" s="129" t="str">
        <f t="shared" si="4"/>
        <v/>
      </c>
    </row>
    <row r="33" spans="1:43" ht="16.5" customHeight="1" thickBot="1" x14ac:dyDescent="0.25">
      <c r="A33" s="92"/>
      <c r="B33" s="28" t="str">
        <f t="shared" si="7"/>
        <v>Mar</v>
      </c>
      <c r="C33" s="29">
        <v>17</v>
      </c>
      <c r="D33" s="29">
        <v>2010</v>
      </c>
      <c r="E33" s="30">
        <v>0.86458333333333337</v>
      </c>
      <c r="F33" s="48" t="str">
        <f>IF(F13="","",F13)</f>
        <v>Barcelona</v>
      </c>
      <c r="G33" s="110"/>
      <c r="H33" s="110"/>
      <c r="I33" s="51" t="str">
        <f>IF(B13="","",B13)</f>
        <v>Stuttgart</v>
      </c>
      <c r="J33" s="91"/>
      <c r="AL33" s="129" t="str">
        <f t="shared" si="4"/>
        <v/>
      </c>
    </row>
    <row r="34" spans="1:43" ht="16.5" customHeight="1" x14ac:dyDescent="0.2">
      <c r="A34" s="92"/>
      <c r="B34" s="35" t="str">
        <f t="shared" si="7"/>
        <v>Mar</v>
      </c>
      <c r="C34" s="36">
        <v>17</v>
      </c>
      <c r="D34" s="36">
        <v>2010</v>
      </c>
      <c r="E34" s="37">
        <v>0.86458333333333337</v>
      </c>
      <c r="F34" s="49" t="str">
        <f>IF(F14="","",F14)</f>
        <v>Bordeaux</v>
      </c>
      <c r="G34" s="110"/>
      <c r="H34" s="110"/>
      <c r="I34" s="52" t="str">
        <f>IF(B14="","",B14)</f>
        <v>Olympiacos</v>
      </c>
      <c r="J34" s="91"/>
      <c r="Q34" s="76"/>
      <c r="R34" s="235" t="str">
        <f>INDEX(T,77,langID)</f>
        <v>Final</v>
      </c>
      <c r="S34" s="235"/>
      <c r="T34" s="235"/>
      <c r="U34" s="235"/>
      <c r="V34" s="235"/>
      <c r="W34" s="235"/>
      <c r="X34" s="235"/>
      <c r="Y34" s="235"/>
      <c r="Z34" s="235"/>
      <c r="AA34" s="235"/>
      <c r="AB34" s="237" t="str">
        <f>INDEX(T,19,langID) &amp; " 22, 2010"</f>
        <v>May 22, 2010</v>
      </c>
      <c r="AC34" s="237"/>
      <c r="AD34" s="237"/>
      <c r="AE34" s="237"/>
      <c r="AF34" s="98"/>
      <c r="AG34" s="99"/>
      <c r="AL34" s="129" t="str">
        <f t="shared" si="4"/>
        <v/>
      </c>
    </row>
    <row r="35" spans="1:43" ht="16.5" customHeight="1" thickBot="1" x14ac:dyDescent="0.25">
      <c r="A35" s="92"/>
      <c r="B35" s="63"/>
      <c r="C35" s="64"/>
      <c r="D35" s="64"/>
      <c r="E35" s="63"/>
      <c r="F35" s="218"/>
      <c r="G35" s="219"/>
      <c r="H35" s="219"/>
      <c r="I35" s="219"/>
      <c r="J35" s="91"/>
      <c r="Q35" s="77"/>
      <c r="R35" s="236"/>
      <c r="S35" s="236"/>
      <c r="T35" s="236"/>
      <c r="U35" s="236"/>
      <c r="V35" s="236"/>
      <c r="W35" s="236"/>
      <c r="X35" s="236"/>
      <c r="Y35" s="236"/>
      <c r="Z35" s="236"/>
      <c r="AA35" s="236"/>
      <c r="AB35" s="238"/>
      <c r="AC35" s="238"/>
      <c r="AD35" s="238"/>
      <c r="AE35" s="238"/>
      <c r="AF35" s="100"/>
      <c r="AG35" s="101"/>
    </row>
    <row r="36" spans="1:43" ht="16.5" customHeight="1" x14ac:dyDescent="0.2">
      <c r="A36" s="92"/>
      <c r="B36" s="231" t="s">
        <v>178</v>
      </c>
      <c r="C36" s="232"/>
      <c r="D36" s="232"/>
      <c r="E36" s="232"/>
      <c r="F36" s="233"/>
      <c r="G36" s="66"/>
      <c r="H36" s="66"/>
      <c r="I36" s="65"/>
      <c r="J36" s="91"/>
      <c r="Q36" s="77"/>
      <c r="R36" s="78"/>
      <c r="S36" s="78"/>
      <c r="T36" s="79"/>
      <c r="U36" s="102"/>
      <c r="V36" s="102"/>
      <c r="W36" s="102"/>
      <c r="X36" s="80"/>
      <c r="Y36" s="81"/>
      <c r="Z36" s="81"/>
      <c r="AA36" s="80"/>
      <c r="AB36" s="82"/>
      <c r="AC36" s="78"/>
      <c r="AD36" s="78"/>
      <c r="AE36" s="79"/>
      <c r="AF36" s="100"/>
      <c r="AG36" s="101"/>
    </row>
    <row r="37" spans="1:43" ht="16.5" customHeight="1" x14ac:dyDescent="0.2">
      <c r="A37" s="92"/>
      <c r="B37" s="209" t="str">
        <f>IF(AL37="",INDEX(T,60,langID),IF(G19+H29&gt;H19+G29,B9,IF(G19+H29&lt;H19+G29,F9,IF(H19&gt;H29,I19,IF(H19&lt;H29,I29,INDEX(T,60,langID))))))</f>
        <v>Second Round 1 Winner</v>
      </c>
      <c r="C37" s="210"/>
      <c r="D37" s="210"/>
      <c r="E37" s="210"/>
      <c r="F37" s="211"/>
      <c r="G37" s="66"/>
      <c r="H37" s="66"/>
      <c r="I37" s="65"/>
      <c r="J37" s="91"/>
      <c r="Q37" s="229"/>
      <c r="R37" s="246" t="str">
        <f>X19</f>
        <v>Semi Final 1 Winner</v>
      </c>
      <c r="S37" s="247"/>
      <c r="T37" s="247"/>
      <c r="U37" s="247"/>
      <c r="V37" s="247"/>
      <c r="W37" s="247"/>
      <c r="X37" s="247"/>
      <c r="Y37" s="248"/>
      <c r="Z37" s="230"/>
      <c r="AA37" s="230"/>
      <c r="AB37" s="223" t="str">
        <f>X20</f>
        <v>Semi Final 2 Winner</v>
      </c>
      <c r="AC37" s="224"/>
      <c r="AD37" s="224"/>
      <c r="AE37" s="225"/>
      <c r="AF37" s="100"/>
      <c r="AG37" s="101"/>
      <c r="AL37" s="129" t="str">
        <f>IF(AL19="","",IF(AL29="","","1/4"))</f>
        <v/>
      </c>
      <c r="AQ37" s="129" t="str">
        <f>IF(Z37="","",IF(AA37="","",IF(Z37&gt;AA37,R37,IF(Z37&lt;AA37,AB37,"draw"))))</f>
        <v/>
      </c>
    </row>
    <row r="38" spans="1:43" ht="16.5" customHeight="1" x14ac:dyDescent="0.2">
      <c r="A38" s="92"/>
      <c r="B38" s="209" t="str">
        <f>IF(AL38="",INDEX(T,61,langID),IF(G20+H30&gt;H20+G30,B10,IF(G20+H30&lt;H20+G30,F10,IF(H20&gt;H30,I20,IF(H20&lt;H30,I30,INDEX(T,61,langID))))))</f>
        <v>Second Round 2 Winner</v>
      </c>
      <c r="C38" s="210"/>
      <c r="D38" s="210"/>
      <c r="E38" s="210"/>
      <c r="F38" s="211"/>
      <c r="G38" s="66"/>
      <c r="H38" s="66"/>
      <c r="I38" s="65"/>
      <c r="J38" s="91"/>
      <c r="Q38" s="229"/>
      <c r="R38" s="249"/>
      <c r="S38" s="250"/>
      <c r="T38" s="250"/>
      <c r="U38" s="250"/>
      <c r="V38" s="250"/>
      <c r="W38" s="250"/>
      <c r="X38" s="250"/>
      <c r="Y38" s="251"/>
      <c r="Z38" s="230"/>
      <c r="AA38" s="230"/>
      <c r="AB38" s="226"/>
      <c r="AC38" s="227"/>
      <c r="AD38" s="227"/>
      <c r="AE38" s="228"/>
      <c r="AF38" s="100"/>
      <c r="AG38" s="101"/>
      <c r="AL38" s="129" t="str">
        <f>IF(AL20="","",IF(AL30="","","1/4"))</f>
        <v/>
      </c>
    </row>
    <row r="39" spans="1:43" ht="16.5" customHeight="1" x14ac:dyDescent="0.2">
      <c r="A39" s="92"/>
      <c r="B39" s="209" t="str">
        <f>IF(AL39="",INDEX(T,62,langID),IF(G21+H27&gt;H21+G27,B11,IF(G21+H27&lt;H21+G27,F11,IF(H21&gt;H27,I21,IF(H21&lt;H27,I27,INDEX(T,62,langID))))))</f>
        <v>Second Round 3 Winner</v>
      </c>
      <c r="C39" s="210"/>
      <c r="D39" s="210"/>
      <c r="E39" s="210"/>
      <c r="F39" s="211"/>
      <c r="G39" s="66"/>
      <c r="H39" s="66"/>
      <c r="I39" s="65"/>
      <c r="J39" s="91"/>
      <c r="Q39" s="7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8"/>
      <c r="AD39" s="88"/>
      <c r="AE39" s="89"/>
      <c r="AF39" s="100"/>
      <c r="AG39" s="101"/>
      <c r="AL39" s="129" t="str">
        <f>IF(AL21="","",IF(AL27="","","1/4"))</f>
        <v/>
      </c>
    </row>
    <row r="40" spans="1:43" ht="16.5" customHeight="1" x14ac:dyDescent="0.2">
      <c r="A40" s="92"/>
      <c r="B40" s="209" t="str">
        <f>IF(AL40="",INDEX(T,63,langID),IF(G22+H28&gt;H22+G28,B12,IF(G22+H28&lt;H22+G28,F12,IF(H22&gt;H28,I22,IF(H22&lt;H28,I28,INDEX(T,63,langID))))))</f>
        <v>Second Round 4 Winner</v>
      </c>
      <c r="C40" s="210"/>
      <c r="D40" s="210"/>
      <c r="E40" s="210"/>
      <c r="F40" s="211"/>
      <c r="G40" s="66"/>
      <c r="H40" s="66"/>
      <c r="I40" s="65"/>
      <c r="J40" s="91"/>
      <c r="P40" s="8"/>
      <c r="Q40" s="239" t="str">
        <f>INDEX(T,78,langID)</f>
        <v>Champion 2013/2014</v>
      </c>
      <c r="R40" s="240"/>
      <c r="S40" s="240"/>
      <c r="T40" s="240"/>
      <c r="U40" s="240"/>
      <c r="V40" s="240"/>
      <c r="W40" s="240"/>
      <c r="X40" s="240"/>
      <c r="Y40" s="240"/>
      <c r="Z40" s="234" t="str">
        <f>IF(AQ37="","",IF(Z37&gt;AA37,R37,IF(Z37&lt;AA37,AB37,"")))</f>
        <v/>
      </c>
      <c r="AA40" s="234"/>
      <c r="AB40" s="234"/>
      <c r="AC40" s="234"/>
      <c r="AD40" s="234"/>
      <c r="AE40" s="234"/>
      <c r="AF40" s="234"/>
      <c r="AG40" s="90"/>
      <c r="AL40" s="129" t="str">
        <f>IF(AL22="","",IF(AL28="","","1/4"))</f>
        <v/>
      </c>
    </row>
    <row r="41" spans="1:43" ht="16.5" customHeight="1" x14ac:dyDescent="0.2">
      <c r="A41" s="92"/>
      <c r="B41" s="209" t="str">
        <f>IF(AL41="",INDEX(T,64,langID),IF(G23+H33&gt;H23+G33,B13,IF(G23+H33&lt;H23+G33,F13,IF(H23&gt;H33,I23,IF(H23&lt;H33,I33,INDEX(T,64,langID))))))</f>
        <v>Second Round 5 Winner</v>
      </c>
      <c r="C41" s="210"/>
      <c r="D41" s="210"/>
      <c r="E41" s="210"/>
      <c r="F41" s="211"/>
      <c r="G41" s="66"/>
      <c r="H41" s="66"/>
      <c r="I41" s="65"/>
      <c r="J41" s="91"/>
      <c r="P41" s="8"/>
      <c r="Q41" s="239"/>
      <c r="R41" s="240"/>
      <c r="S41" s="240"/>
      <c r="T41" s="240"/>
      <c r="U41" s="240"/>
      <c r="V41" s="240"/>
      <c r="W41" s="240"/>
      <c r="X41" s="240"/>
      <c r="Y41" s="240"/>
      <c r="Z41" s="234"/>
      <c r="AA41" s="234"/>
      <c r="AB41" s="234"/>
      <c r="AC41" s="234"/>
      <c r="AD41" s="234"/>
      <c r="AE41" s="234"/>
      <c r="AF41" s="234"/>
      <c r="AG41" s="90"/>
      <c r="AL41" s="129" t="str">
        <f>IF(AL23="","",IF(AL33="","","1/4"))</f>
        <v/>
      </c>
    </row>
    <row r="42" spans="1:43" ht="16.5" customHeight="1" thickBot="1" x14ac:dyDescent="0.25">
      <c r="A42" s="92"/>
      <c r="B42" s="209" t="str">
        <f>IF(AL42="",INDEX(T,65,langID),IF(G24+H34&gt;H24+G34,B14,IF(G24+H34&lt;H24+G34,F14,IF(H24&gt;H34,I24,IF(H24&lt;H34,I34,INDEX(T,65,langID))))))</f>
        <v>Second Round 6 Winner</v>
      </c>
      <c r="C42" s="210"/>
      <c r="D42" s="210"/>
      <c r="E42" s="210"/>
      <c r="F42" s="211"/>
      <c r="G42" s="66"/>
      <c r="H42" s="66"/>
      <c r="I42" s="65"/>
      <c r="J42" s="91"/>
      <c r="P42" s="8"/>
      <c r="Q42" s="83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5"/>
      <c r="AD42" s="85"/>
      <c r="AE42" s="86"/>
      <c r="AF42" s="103"/>
      <c r="AG42" s="104"/>
      <c r="AL42" s="129" t="str">
        <f>IF(AL24="","",IF(AL34="","","1/4"))</f>
        <v/>
      </c>
    </row>
    <row r="43" spans="1:43" ht="16.5" customHeight="1" x14ac:dyDescent="0.2">
      <c r="A43" s="92"/>
      <c r="B43" s="209" t="str">
        <f>IF(AL43="",INDEX(T,66,langID),IF(G25+H31&gt;H25+G31,B15,IF(G25+H31&lt;H25+G31,F15,IF(H25&gt;H31,I25,IF(H25&lt;H31,I31,INDEX(T,66,langID))))))</f>
        <v>Second Round 7 Winner</v>
      </c>
      <c r="C43" s="210"/>
      <c r="D43" s="210"/>
      <c r="E43" s="210"/>
      <c r="F43" s="211"/>
      <c r="G43" s="66"/>
      <c r="H43" s="66"/>
      <c r="I43" s="65"/>
      <c r="J43" s="91"/>
      <c r="P43" s="8"/>
      <c r="R43" s="8"/>
      <c r="S43" s="8"/>
      <c r="T43" s="8"/>
      <c r="U43" s="8"/>
      <c r="V43" s="8"/>
      <c r="W43" s="8"/>
      <c r="X43" s="8"/>
      <c r="Y43" s="8"/>
      <c r="Z43" s="8"/>
      <c r="AA43" s="8"/>
      <c r="AL43" s="129" t="str">
        <f>IF(AL25="","",IF(AL31="","","1/4"))</f>
        <v/>
      </c>
    </row>
    <row r="44" spans="1:43" ht="16.5" customHeight="1" x14ac:dyDescent="0.2">
      <c r="A44" s="92"/>
      <c r="B44" s="199" t="str">
        <f>IF(AL44="",INDEX(T,67,langID),IF(G26+H32&gt;H26+G32,B16,IF(G26+H32&lt;H26+G32,F16,IF(H26&gt;H32,I26,IF(H26&lt;H32,I32,INDEX(T,67,langID))))))</f>
        <v>Second Round 8 Winner</v>
      </c>
      <c r="C44" s="200"/>
      <c r="D44" s="200"/>
      <c r="E44" s="200"/>
      <c r="F44" s="201"/>
      <c r="G44" s="66"/>
      <c r="H44" s="66"/>
      <c r="I44" s="65"/>
      <c r="J44" s="91"/>
      <c r="P44" s="8"/>
      <c r="R44" s="8"/>
      <c r="S44" s="8"/>
      <c r="T44" s="8"/>
      <c r="U44" s="8"/>
      <c r="V44" s="8"/>
      <c r="W44" s="8"/>
      <c r="X44" s="8"/>
      <c r="Y44" s="8"/>
      <c r="Z44" s="8"/>
      <c r="AA44" s="8"/>
      <c r="AL44" s="129" t="str">
        <f>IF(AL26="","",IF(AL32="","","1/4"))</f>
        <v/>
      </c>
    </row>
    <row r="45" spans="1:43" ht="16.5" customHeight="1" thickBot="1" x14ac:dyDescent="0.25">
      <c r="A45" s="96"/>
      <c r="B45" s="70"/>
      <c r="C45" s="71"/>
      <c r="D45" s="71"/>
      <c r="E45" s="70"/>
      <c r="F45" s="72"/>
      <c r="G45" s="73"/>
      <c r="H45" s="73"/>
      <c r="I45" s="74"/>
      <c r="J45" s="97"/>
      <c r="P45" s="8"/>
    </row>
    <row r="46" spans="1:43" x14ac:dyDescent="0.2">
      <c r="B46" s="42"/>
      <c r="C46" s="43"/>
      <c r="D46" s="43"/>
      <c r="E46" s="42"/>
      <c r="F46" s="44"/>
      <c r="G46" s="34"/>
      <c r="H46" s="34"/>
      <c r="I46" s="45"/>
      <c r="P46" s="8"/>
    </row>
  </sheetData>
  <mergeCells count="58">
    <mergeCell ref="AJ6:AK6"/>
    <mergeCell ref="M25:Q25"/>
    <mergeCell ref="X9:Z9"/>
    <mergeCell ref="X8:AB8"/>
    <mergeCell ref="M12:O12"/>
    <mergeCell ref="M24:Q24"/>
    <mergeCell ref="M14:P14"/>
    <mergeCell ref="X12:AA12"/>
    <mergeCell ref="Z24:AD26"/>
    <mergeCell ref="X6:AE6"/>
    <mergeCell ref="Q7:T7"/>
    <mergeCell ref="M8:Q8"/>
    <mergeCell ref="M10:O10"/>
    <mergeCell ref="X19:AB19"/>
    <mergeCell ref="M11:O11"/>
    <mergeCell ref="X20:AB20"/>
    <mergeCell ref="X18:AB18"/>
    <mergeCell ref="B18:E18"/>
    <mergeCell ref="F35:I35"/>
    <mergeCell ref="B39:F39"/>
    <mergeCell ref="Z40:AF41"/>
    <mergeCell ref="R34:AA35"/>
    <mergeCell ref="AB34:AE35"/>
    <mergeCell ref="Q40:Y41"/>
    <mergeCell ref="R37:Y38"/>
    <mergeCell ref="M28:Q28"/>
    <mergeCell ref="AB37:AE38"/>
    <mergeCell ref="M26:Q26"/>
    <mergeCell ref="Q37:Q38"/>
    <mergeCell ref="Z37:Z38"/>
    <mergeCell ref="AA37:AA38"/>
    <mergeCell ref="M27:Q27"/>
    <mergeCell ref="Z28:AD30"/>
    <mergeCell ref="A1:AF1"/>
    <mergeCell ref="X10:Z10"/>
    <mergeCell ref="J3:W3"/>
    <mergeCell ref="B6:I6"/>
    <mergeCell ref="B9:D9"/>
    <mergeCell ref="AB7:AE7"/>
    <mergeCell ref="M6:T6"/>
    <mergeCell ref="F7:I7"/>
    <mergeCell ref="M9:O9"/>
    <mergeCell ref="B44:F44"/>
    <mergeCell ref="B14:D14"/>
    <mergeCell ref="B8:F8"/>
    <mergeCell ref="B12:D12"/>
    <mergeCell ref="B15:D15"/>
    <mergeCell ref="B16:D16"/>
    <mergeCell ref="B38:F38"/>
    <mergeCell ref="B13:D13"/>
    <mergeCell ref="B11:D11"/>
    <mergeCell ref="B10:D10"/>
    <mergeCell ref="B43:F43"/>
    <mergeCell ref="B37:F37"/>
    <mergeCell ref="B42:F42"/>
    <mergeCell ref="B41:F41"/>
    <mergeCell ref="B40:F40"/>
    <mergeCell ref="B36:F36"/>
  </mergeCells>
  <phoneticPr fontId="0" type="noConversion"/>
  <conditionalFormatting sqref="F19:F34">
    <cfRule type="expression" dxfId="19" priority="1" stopIfTrue="1">
      <formula>IF(F19=AL19,1,0)</formula>
    </cfRule>
  </conditionalFormatting>
  <conditionalFormatting sqref="I19:I34">
    <cfRule type="expression" dxfId="18" priority="2" stopIfTrue="1">
      <formula>IF(I19=AL19,1,0)</formula>
    </cfRule>
  </conditionalFormatting>
  <conditionalFormatting sqref="T15:T22">
    <cfRule type="expression" dxfId="17" priority="3" stopIfTrue="1">
      <formula>IF(T15=AO15,1,0)</formula>
    </cfRule>
  </conditionalFormatting>
  <conditionalFormatting sqref="Q15:Q22">
    <cfRule type="expression" dxfId="16" priority="4" stopIfTrue="1">
      <formula>IF(Q15=AO15,1,0)</formula>
    </cfRule>
  </conditionalFormatting>
  <conditionalFormatting sqref="AB13:AB16">
    <cfRule type="expression" dxfId="15" priority="5" stopIfTrue="1">
      <formula>IF(AB13=AR13,1,0)</formula>
    </cfRule>
  </conditionalFormatting>
  <conditionalFormatting sqref="AE13:AE16">
    <cfRule type="expression" dxfId="14" priority="6" stopIfTrue="1">
      <formula>IF(AE13=AR13,1,0)</formula>
    </cfRule>
  </conditionalFormatting>
  <conditionalFormatting sqref="F7 Q7 F35">
    <cfRule type="expression" dxfId="13" priority="7" stopIfTrue="1">
      <formula>IF(#REF!=CONCATENATE($F7,"_win"),1,0)</formula>
    </cfRule>
  </conditionalFormatting>
  <conditionalFormatting sqref="AJ6 AN6 AQ6 AK7:AK12">
    <cfRule type="expression" dxfId="12" priority="8" stopIfTrue="1">
      <formula>IF(#REF!=CONCATENATE($B8,"_win"),1,0)</formula>
    </cfRule>
  </conditionalFormatting>
  <conditionalFormatting sqref="M8:M12 B8:B16 B36:B44 M28">
    <cfRule type="expression" dxfId="11" priority="9" stopIfTrue="1">
      <formula>IF(#REF!=CONCATENATE($B8,"_win"),1,0)</formula>
    </cfRule>
  </conditionalFormatting>
  <conditionalFormatting sqref="Q9:Q12 F9:F16">
    <cfRule type="expression" dxfId="10" priority="10" stopIfTrue="1">
      <formula>IF(#REF!=CONCATENATE($F9,"_win"),1,0)</formula>
    </cfRule>
  </conditionalFormatting>
  <conditionalFormatting sqref="M24">
    <cfRule type="expression" dxfId="9" priority="11" stopIfTrue="1">
      <formula>IF(#REF!=CONCATENATE($B36,"_win"),1,0)</formula>
    </cfRule>
  </conditionalFormatting>
  <conditionalFormatting sqref="X8:X10">
    <cfRule type="expression" dxfId="8" priority="12" stopIfTrue="1">
      <formula>IF(#REF!=CONCATENATE($B34,"_win"),1,0)</formula>
    </cfRule>
  </conditionalFormatting>
  <conditionalFormatting sqref="AB9:AB10">
    <cfRule type="expression" dxfId="7" priority="13" stopIfTrue="1">
      <formula>IF(#REF!=CONCATENATE($F35,"_win"),1,0)</formula>
    </cfRule>
  </conditionalFormatting>
  <conditionalFormatting sqref="AB7">
    <cfRule type="expression" dxfId="6" priority="14" stopIfTrue="1">
      <formula>IF(#REF!=CONCATENATE($F33,"_win"),1,0)</formula>
    </cfRule>
  </conditionalFormatting>
  <conditionalFormatting sqref="M25:M27">
    <cfRule type="expression" dxfId="5" priority="15" stopIfTrue="1">
      <formula>IF(#REF!=CONCATENATE($B24,"_win"),1,0)</formula>
    </cfRule>
  </conditionalFormatting>
  <conditionalFormatting sqref="X19:X20">
    <cfRule type="expression" dxfId="4" priority="16" stopIfTrue="1">
      <formula>IF(#REF!=CONCATENATE(#REF!,"_win"),1,0)</formula>
    </cfRule>
  </conditionalFormatting>
  <conditionalFormatting sqref="X18">
    <cfRule type="expression" dxfId="3" priority="17" stopIfTrue="1">
      <formula>IF(#REF!=CONCATENATE(#REF!,"_win"),1,0)</formula>
    </cfRule>
  </conditionalFormatting>
  <conditionalFormatting sqref="R37:Y38">
    <cfRule type="expression" dxfId="2" priority="18" stopIfTrue="1">
      <formula>IF($R$37=$AQ$37,1,0)</formula>
    </cfRule>
  </conditionalFormatting>
  <conditionalFormatting sqref="AB37:AE38">
    <cfRule type="expression" dxfId="1" priority="19" stopIfTrue="1">
      <formula>IF($AB$37=$AQ$37,1,0)</formula>
    </cfRule>
  </conditionalFormatting>
  <conditionalFormatting sqref="Z40:AF41">
    <cfRule type="expression" dxfId="0" priority="20" stopIfTrue="1">
      <formula>IF($AQ$37="",0,IF($AQ$37="draw",0,1))</formula>
    </cfRule>
  </conditionalFormatting>
  <dataValidations disablePrompts="1" count="4">
    <dataValidation type="list" allowBlank="1" showInputMessage="1" showErrorMessage="1" sqref="B9:D16">
      <formula1>$AJ$7:$AJ$22</formula1>
    </dataValidation>
    <dataValidation type="list" allowBlank="1" showInputMessage="1" showErrorMessage="1" sqref="F9:F16">
      <formula1>$AJ$7:$AJ$22</formula1>
    </dataValidation>
    <dataValidation type="list" allowBlank="1" showInputMessage="1" showErrorMessage="1" sqref="M9:O12 Q9:Q12">
      <formula1>$AN$7:$AN$14</formula1>
    </dataValidation>
    <dataValidation type="list" allowBlank="1" showInputMessage="1" showErrorMessage="1" sqref="X9:Z10 AB9:AB10">
      <formula1>$AQ$7:$AQ$10</formula1>
    </dataValidation>
  </dataValidations>
  <hyperlinks>
    <hyperlink ref="J3:W3" r:id="rId1" tooltip="Visit Homepage: Excely.com" display="http://www.excely.com/football/champions-league/"/>
  </hyperlinks>
  <pageMargins left="0.39370078740157483" right="0.39370078740157483" top="0.59055118110236227" bottom="0.59055118110236227" header="0.31496062992125984" footer="0.31496062992125984"/>
  <pageSetup paperSize="9" scale="68" orientation="landscape" r:id="rId2"/>
  <headerFooter alignWithMargins="0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22</vt:i4>
      </vt:variant>
    </vt:vector>
  </HeadingPairs>
  <TitlesOfParts>
    <vt:vector size="23" baseType="lpstr">
      <vt:lpstr>Champions League. Group Stage</vt:lpstr>
      <vt:lpstr>Fixtures_A</vt:lpstr>
      <vt:lpstr>Fixtures_B</vt:lpstr>
      <vt:lpstr>Fixtures_C</vt:lpstr>
      <vt:lpstr>Fixtures_D</vt:lpstr>
      <vt:lpstr>Fixtures_E</vt:lpstr>
      <vt:lpstr>Fixtures_F</vt:lpstr>
      <vt:lpstr>Fixtures_G</vt:lpstr>
      <vt:lpstr>Fixtures_H</vt:lpstr>
      <vt:lpstr>Group_A</vt:lpstr>
      <vt:lpstr>Group_B</vt:lpstr>
      <vt:lpstr>Group_C</vt:lpstr>
      <vt:lpstr>Group_D</vt:lpstr>
      <vt:lpstr>Group_E</vt:lpstr>
      <vt:lpstr>Group_F</vt:lpstr>
      <vt:lpstr>Group_G</vt:lpstr>
      <vt:lpstr>Group_H</vt:lpstr>
      <vt:lpstr>langID</vt:lpstr>
      <vt:lpstr>langList</vt:lpstr>
      <vt:lpstr>LangVal</vt:lpstr>
      <vt:lpstr>'Champions League. Group Stage'!Print_Area</vt:lpstr>
      <vt:lpstr>'Final Phase'!Print_Area</vt:lpstr>
      <vt:lpstr>T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Excely.com</dc:creator>
  <cp:lastModifiedBy>DK</cp:lastModifiedBy>
  <cp:lastPrinted>2009-12-19T16:58:40Z</cp:lastPrinted>
  <dcterms:created xsi:type="dcterms:W3CDTF">2006-08-16T21:31:08Z</dcterms:created>
  <dcterms:modified xsi:type="dcterms:W3CDTF">2013-11-26T17:40:50Z</dcterms:modified>
</cp:coreProperties>
</file>